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hsegov-my.sharepoint.com/personal/simon_gant_hse_gov_uk/Documents/Jack Rabbit III/Desert Tortoise FLADIS/Equivalent source/Final version of HSE calcs/"/>
    </mc:Choice>
  </mc:AlternateContent>
  <xr:revisionPtr revIDLastSave="116" documentId="8_{27E09D76-875C-4390-8206-904FC1EACE7D}" xr6:coauthVersionLast="47" xr6:coauthVersionMax="47" xr10:uidLastSave="{803A3BE3-0C43-436F-8006-CD8C68143BFC}"/>
  <bookViews>
    <workbookView xWindow="-120" yWindow="-120" windowWidth="29040" windowHeight="15840" xr2:uid="{387AC8D6-3C0E-4CD8-91B6-46A699DD88AC}"/>
  </bookViews>
  <sheets>
    <sheet name="Results Summary" sheetId="1" r:id="rId1"/>
    <sheet name="HSE-Tickle Calc" sheetId="2" r:id="rId2"/>
    <sheet name="Antoine" sheetId="6" r:id="rId3"/>
    <sheet name="Osborne - Van Dusen" sheetId="5" r:id="rId4"/>
    <sheet name="NIST Webbook" sheetId="4" r:id="rId5"/>
    <sheet name="CERC (2000)"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1" i="2" l="1"/>
  <c r="J110" i="2"/>
  <c r="J112" i="2" s="1"/>
  <c r="J109" i="2"/>
  <c r="J108" i="2"/>
  <c r="I111" i="2"/>
  <c r="I110" i="2"/>
  <c r="I109" i="2"/>
  <c r="I108" i="2"/>
  <c r="J105" i="2"/>
  <c r="J106" i="2" s="1"/>
  <c r="J104" i="2"/>
  <c r="I106" i="2"/>
  <c r="I105" i="2"/>
  <c r="I104" i="2"/>
  <c r="J102" i="2"/>
  <c r="I102" i="2"/>
  <c r="K97" i="2"/>
  <c r="J97" i="2"/>
  <c r="K96" i="2"/>
  <c r="J96" i="2"/>
  <c r="K95" i="2"/>
  <c r="J95" i="2"/>
  <c r="I62" i="2"/>
  <c r="I63" i="2" s="1"/>
  <c r="E21" i="1" s="1"/>
  <c r="E28" i="1" s="1"/>
  <c r="F23" i="1"/>
  <c r="F22" i="1"/>
  <c r="F29" i="1" s="1"/>
  <c r="F21" i="1"/>
  <c r="F28" i="1" s="1"/>
  <c r="K78" i="2"/>
  <c r="J78" i="2"/>
  <c r="I78" i="2"/>
  <c r="K69" i="2"/>
  <c r="J69" i="2"/>
  <c r="K68" i="2"/>
  <c r="J68" i="2"/>
  <c r="I69" i="2"/>
  <c r="I68" i="2"/>
  <c r="K62" i="2"/>
  <c r="K63" i="2" s="1"/>
  <c r="K67" i="2" s="1"/>
  <c r="J62" i="2"/>
  <c r="J63" i="2" s="1"/>
  <c r="J67" i="2" s="1"/>
  <c r="L56" i="2"/>
  <c r="K56" i="2"/>
  <c r="J56" i="2"/>
  <c r="I56" i="2"/>
  <c r="I44" i="2"/>
  <c r="I45" i="2" s="1"/>
  <c r="K43" i="2"/>
  <c r="J43" i="2"/>
  <c r="I43" i="2"/>
  <c r="N38" i="5"/>
  <c r="N36" i="5"/>
  <c r="N34" i="5"/>
  <c r="N9" i="5"/>
  <c r="M9" i="5"/>
  <c r="N8" i="5"/>
  <c r="M8" i="5"/>
  <c r="L10" i="5"/>
  <c r="N10" i="5" s="1"/>
  <c r="L9" i="5"/>
  <c r="K40" i="2"/>
  <c r="J40" i="2"/>
  <c r="K39" i="2"/>
  <c r="J39" i="2"/>
  <c r="K38" i="2"/>
  <c r="J38" i="2"/>
  <c r="K37" i="2"/>
  <c r="J37" i="2"/>
  <c r="K36" i="2"/>
  <c r="K44" i="2" s="1"/>
  <c r="K45" i="2" s="1"/>
  <c r="J36" i="2"/>
  <c r="J44" i="2" s="1"/>
  <c r="J45" i="2" s="1"/>
  <c r="I40" i="2"/>
  <c r="I39" i="2"/>
  <c r="I38" i="2"/>
  <c r="I37" i="2"/>
  <c r="I36" i="2"/>
  <c r="X29" i="4"/>
  <c r="W29" i="4"/>
  <c r="V29" i="4"/>
  <c r="U29" i="4"/>
  <c r="X28" i="4"/>
  <c r="W28" i="4"/>
  <c r="V28" i="4"/>
  <c r="U28" i="4"/>
  <c r="K35" i="2"/>
  <c r="K41" i="2" s="1"/>
  <c r="J35" i="2"/>
  <c r="J41" i="2" s="1"/>
  <c r="J47" i="2" s="1"/>
  <c r="J49" i="2" s="1"/>
  <c r="I35" i="2"/>
  <c r="U21" i="4" s="1"/>
  <c r="U43" i="6"/>
  <c r="U42" i="6"/>
  <c r="U41" i="6"/>
  <c r="U40" i="6"/>
  <c r="U39" i="6"/>
  <c r="U38" i="6"/>
  <c r="V38" i="6" s="1"/>
  <c r="U37" i="6"/>
  <c r="U36" i="6"/>
  <c r="V36" i="6" s="1"/>
  <c r="U35" i="6"/>
  <c r="U34" i="6"/>
  <c r="U33" i="6"/>
  <c r="U32" i="6"/>
  <c r="U31" i="6"/>
  <c r="U30" i="6"/>
  <c r="V30" i="6" s="1"/>
  <c r="U29" i="6"/>
  <c r="U28" i="6"/>
  <c r="V28" i="6" s="1"/>
  <c r="U27" i="6"/>
  <c r="U26" i="6"/>
  <c r="U25" i="6"/>
  <c r="U24" i="6"/>
  <c r="U23" i="6"/>
  <c r="U22" i="6"/>
  <c r="V22" i="6" s="1"/>
  <c r="U21" i="6"/>
  <c r="U20" i="6"/>
  <c r="V20" i="6" s="1"/>
  <c r="U19" i="6"/>
  <c r="U18" i="6"/>
  <c r="U17" i="6"/>
  <c r="U16" i="6"/>
  <c r="U15" i="6"/>
  <c r="U14" i="6"/>
  <c r="V14" i="6" s="1"/>
  <c r="U13" i="6"/>
  <c r="U12" i="6"/>
  <c r="V12" i="6" s="1"/>
  <c r="U11" i="6"/>
  <c r="U10" i="6"/>
  <c r="U9" i="6"/>
  <c r="U8" i="6"/>
  <c r="U7" i="6"/>
  <c r="U6" i="6"/>
  <c r="V6" i="6" s="1"/>
  <c r="U5" i="6"/>
  <c r="U4" i="6"/>
  <c r="V43" i="6"/>
  <c r="T43" i="6"/>
  <c r="V42" i="6"/>
  <c r="T42" i="6"/>
  <c r="V41" i="6"/>
  <c r="T41" i="6"/>
  <c r="V40" i="6"/>
  <c r="T40" i="6"/>
  <c r="V39" i="6"/>
  <c r="T39" i="6"/>
  <c r="T38" i="6"/>
  <c r="V37" i="6"/>
  <c r="T37" i="6"/>
  <c r="T36" i="6"/>
  <c r="V35" i="6"/>
  <c r="T35" i="6"/>
  <c r="V34" i="6"/>
  <c r="T34" i="6"/>
  <c r="V33" i="6"/>
  <c r="T33" i="6"/>
  <c r="V32" i="6"/>
  <c r="T32" i="6"/>
  <c r="V31" i="6"/>
  <c r="T31" i="6"/>
  <c r="T30" i="6"/>
  <c r="V29" i="6"/>
  <c r="T29" i="6"/>
  <c r="T28" i="6"/>
  <c r="V27" i="6"/>
  <c r="T27" i="6"/>
  <c r="V26" i="6"/>
  <c r="T26" i="6"/>
  <c r="V25" i="6"/>
  <c r="T25" i="6"/>
  <c r="V24" i="6"/>
  <c r="T24" i="6"/>
  <c r="V23" i="6"/>
  <c r="T23" i="6"/>
  <c r="T22" i="6"/>
  <c r="V21" i="6"/>
  <c r="T21" i="6"/>
  <c r="T20" i="6"/>
  <c r="V19" i="6"/>
  <c r="T19" i="6"/>
  <c r="V18" i="6"/>
  <c r="T18" i="6"/>
  <c r="V17" i="6"/>
  <c r="T17" i="6"/>
  <c r="V16" i="6"/>
  <c r="T16" i="6"/>
  <c r="V15" i="6"/>
  <c r="T15" i="6"/>
  <c r="T14" i="6"/>
  <c r="V13" i="6"/>
  <c r="T13" i="6"/>
  <c r="T12" i="6"/>
  <c r="V11" i="6"/>
  <c r="T11" i="6"/>
  <c r="V10" i="6"/>
  <c r="T10" i="6"/>
  <c r="V9" i="6"/>
  <c r="T9" i="6"/>
  <c r="V8" i="6"/>
  <c r="T8" i="6"/>
  <c r="V7" i="6"/>
  <c r="T7" i="6"/>
  <c r="T6" i="6"/>
  <c r="S7" i="6"/>
  <c r="S8" i="6" s="1"/>
  <c r="S9" i="6" s="1"/>
  <c r="S10" i="6" s="1"/>
  <c r="S11" i="6" s="1"/>
  <c r="S12" i="6" s="1"/>
  <c r="S13" i="6" s="1"/>
  <c r="S14" i="6" s="1"/>
  <c r="S15" i="6" s="1"/>
  <c r="S16" i="6" s="1"/>
  <c r="S17" i="6" s="1"/>
  <c r="S18" i="6" s="1"/>
  <c r="S19" i="6" s="1"/>
  <c r="S20" i="6" s="1"/>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6" i="6"/>
  <c r="V5" i="6"/>
  <c r="T5" i="6"/>
  <c r="V4" i="6"/>
  <c r="T4" i="6"/>
  <c r="P29" i="6"/>
  <c r="K33" i="2"/>
  <c r="J33" i="2"/>
  <c r="I33" i="2"/>
  <c r="K31" i="2"/>
  <c r="J31" i="2"/>
  <c r="I31" i="2"/>
  <c r="K30" i="2"/>
  <c r="J30" i="2"/>
  <c r="I112" i="2" l="1"/>
  <c r="K47" i="2"/>
  <c r="K49" i="2" s="1"/>
  <c r="J64" i="2"/>
  <c r="K64" i="2"/>
  <c r="E22" i="1"/>
  <c r="E29" i="1" s="1"/>
  <c r="K66" i="2"/>
  <c r="K70" i="2" s="1"/>
  <c r="K79" i="2" s="1"/>
  <c r="V21" i="4"/>
  <c r="J51" i="2"/>
  <c r="J52" i="2" s="1"/>
  <c r="E23" i="1"/>
  <c r="W21" i="4"/>
  <c r="K51" i="2"/>
  <c r="K52" i="2" s="1"/>
  <c r="J66" i="2"/>
  <c r="J70" i="2" s="1"/>
  <c r="J79" i="2" s="1"/>
  <c r="I41" i="2"/>
  <c r="I47" i="2" s="1"/>
  <c r="I49" i="2" s="1"/>
  <c r="I51" i="2" s="1"/>
  <c r="I52" i="2" s="1"/>
  <c r="I66" i="2"/>
  <c r="I67" i="2"/>
  <c r="M10" i="5"/>
  <c r="L11" i="5"/>
  <c r="L12" i="5" s="1"/>
  <c r="L13" i="5" s="1"/>
  <c r="M11" i="5"/>
  <c r="M12" i="5"/>
  <c r="K72" i="2" l="1"/>
  <c r="D23" i="1" s="1"/>
  <c r="J72" i="2"/>
  <c r="D22" i="1" s="1"/>
  <c r="D29" i="1" s="1"/>
  <c r="J74" i="2"/>
  <c r="J76" i="2" s="1"/>
  <c r="G22" i="1" s="1"/>
  <c r="G29" i="1" s="1"/>
  <c r="K74" i="2"/>
  <c r="K76" i="2" s="1"/>
  <c r="G23" i="1" s="1"/>
  <c r="I72" i="2"/>
  <c r="D21" i="1" s="1"/>
  <c r="D28" i="1" s="1"/>
  <c r="I70" i="2"/>
  <c r="I74" i="2" s="1"/>
  <c r="I64" i="2"/>
  <c r="N12" i="5"/>
  <c r="L14" i="5"/>
  <c r="N13" i="5"/>
  <c r="M13" i="5"/>
  <c r="N11" i="5"/>
  <c r="I76" i="2" l="1"/>
  <c r="G21" i="1" s="1"/>
  <c r="G28" i="1" s="1"/>
  <c r="I96" i="2"/>
  <c r="I95" i="2"/>
  <c r="J81" i="2"/>
  <c r="J82" i="2"/>
  <c r="J85" i="2" s="1"/>
  <c r="J87" i="2" s="1"/>
  <c r="J88" i="2" s="1"/>
  <c r="J90" i="2" s="1"/>
  <c r="K81" i="2"/>
  <c r="K82" i="2"/>
  <c r="K85" i="2" s="1"/>
  <c r="K87" i="2" s="1"/>
  <c r="K88" i="2" s="1"/>
  <c r="K90" i="2" s="1"/>
  <c r="I79" i="2"/>
  <c r="I82" i="2" s="1"/>
  <c r="L15" i="5"/>
  <c r="M14" i="5"/>
  <c r="N14" i="5"/>
  <c r="I97" i="2" l="1"/>
  <c r="K84" i="2"/>
  <c r="K92" i="2" s="1"/>
  <c r="C23" i="1" s="1"/>
  <c r="J84" i="2"/>
  <c r="J92" i="2" s="1"/>
  <c r="C22" i="1" s="1"/>
  <c r="C29" i="1" s="1"/>
  <c r="I81" i="2"/>
  <c r="I84" i="2" s="1"/>
  <c r="L16" i="5"/>
  <c r="N15" i="5"/>
  <c r="M15" i="5"/>
  <c r="I85" i="2" l="1"/>
  <c r="I87" i="2" s="1"/>
  <c r="I88" i="2" s="1"/>
  <c r="I90" i="2" s="1"/>
  <c r="I92" i="2" s="1"/>
  <c r="C21" i="1" s="1"/>
  <c r="C28" i="1" s="1"/>
  <c r="L17" i="5"/>
  <c r="N16" i="5"/>
  <c r="M16" i="5"/>
  <c r="L18" i="5" l="1"/>
  <c r="N17" i="5"/>
  <c r="M17" i="5"/>
  <c r="M18" i="5" l="1"/>
  <c r="N18" i="5"/>
  <c r="L19" i="5"/>
  <c r="N19" i="5" l="1"/>
  <c r="M19" i="5"/>
  <c r="L20" i="5"/>
  <c r="N20" i="5" l="1"/>
  <c r="L21" i="5"/>
  <c r="M20" i="5"/>
  <c r="M21" i="5" l="1"/>
  <c r="N21" i="5"/>
  <c r="L22" i="5"/>
  <c r="L23" i="5" l="1"/>
  <c r="N22" i="5"/>
  <c r="M22" i="5"/>
  <c r="L24" i="5" l="1"/>
  <c r="M23" i="5"/>
  <c r="N23" i="5"/>
  <c r="N24" i="5" l="1"/>
  <c r="M24" i="5"/>
  <c r="L25" i="5"/>
  <c r="L26" i="5" l="1"/>
  <c r="N25" i="5"/>
  <c r="M25" i="5"/>
  <c r="L27" i="5" l="1"/>
  <c r="N26" i="5"/>
  <c r="M26" i="5"/>
  <c r="L28" i="5" l="1"/>
  <c r="M27" i="5"/>
  <c r="N27" i="5"/>
  <c r="M28" i="5" l="1"/>
  <c r="N28" i="5"/>
</calcChain>
</file>

<file path=xl/sharedStrings.xml><?xml version="1.0" encoding="utf-8"?>
<sst xmlns="http://schemas.openxmlformats.org/spreadsheetml/2006/main" count="338" uniqueCount="221">
  <si>
    <t>Calculation of equivalent vapor-only source conditions for Desert Tortoise Trials 1, 2 and 4</t>
  </si>
  <si>
    <t>based on the method described in CERC (2000) SMEDIS Model Evaluation Protocol, Report SMEDIS/96/8/D, Version 2.0, Cambridge Environmental Research Consultants Ltd (CERC), 7 December 2000. https://admlc.com/smedis-dataset/</t>
  </si>
  <si>
    <t>Color coding:</t>
  </si>
  <si>
    <t>Equivalent vapor-only source conditions for use in atmospheric dispersion models</t>
  </si>
  <si>
    <t>Inputs taken from the Desert Tortoise experiments (see file: "JRIII initial modeling exercise description v2.3.pdf")</t>
  </si>
  <si>
    <t>Stage 1: Calculation of flash vaporisation</t>
  </si>
  <si>
    <t>DT1</t>
  </si>
  <si>
    <t>DT2</t>
  </si>
  <si>
    <t>DT4</t>
  </si>
  <si>
    <t>SI Units</t>
  </si>
  <si>
    <t>Source</t>
  </si>
  <si>
    <t>Mass flow rate of ammonia</t>
  </si>
  <si>
    <t>mdot</t>
  </si>
  <si>
    <t>kg/s</t>
  </si>
  <si>
    <t>Table 1 in "JRIII initial modeling exercise description v2.3.docx"</t>
  </si>
  <si>
    <t>Diameter of pipe exit</t>
  </si>
  <si>
    <t>D_e</t>
  </si>
  <si>
    <t>m</t>
  </si>
  <si>
    <t>Atmospheric pressure</t>
  </si>
  <si>
    <t>Pa (abs)</t>
  </si>
  <si>
    <t>Pressure at pipe exit</t>
  </si>
  <si>
    <t>P_e</t>
  </si>
  <si>
    <t>Temperature at pipe exit</t>
  </si>
  <si>
    <t>T_e</t>
  </si>
  <si>
    <t>K</t>
  </si>
  <si>
    <t>Atmospheric temperature</t>
  </si>
  <si>
    <t>T_a</t>
  </si>
  <si>
    <t>Source:</t>
  </si>
  <si>
    <t>https://webbook.nist.gov/cgi/cbook.cgi?ID=C7664417&amp;Mask=4#Thermo-Phase</t>
  </si>
  <si>
    <t>a</t>
  </si>
  <si>
    <t>b</t>
  </si>
  <si>
    <t>c</t>
  </si>
  <si>
    <t>Temperature</t>
  </si>
  <si>
    <t>(K)</t>
  </si>
  <si>
    <t>Pressure</t>
  </si>
  <si>
    <t>(bar)</t>
  </si>
  <si>
    <t>(deg C)</t>
  </si>
  <si>
    <t>(Pa)</t>
  </si>
  <si>
    <t>&lt;-- interesting that this is not 101,325 Pa</t>
  </si>
  <si>
    <t>T_f</t>
  </si>
  <si>
    <t>Temperature at the end of flashing</t>
  </si>
  <si>
    <t>Calculated from Equation (5)</t>
  </si>
  <si>
    <t>Density of liquid ammonia at pipe exit</t>
  </si>
  <si>
    <t>Density of ammonia liquid at end of flashing</t>
  </si>
  <si>
    <t>Density of ammonia vapour at end of flashing</t>
  </si>
  <si>
    <t>Specific enthalpy of ammonia liquid at pipe exit</t>
  </si>
  <si>
    <t>Specific enthalpy of ammonia liquid at the end of flashing</t>
  </si>
  <si>
    <t>Heat of vaporisation of ammonia at the end of flashing</t>
  </si>
  <si>
    <t>rho_l_e</t>
  </si>
  <si>
    <t>rho_l_f</t>
  </si>
  <si>
    <t>rho_v_f</t>
  </si>
  <si>
    <t>h_l_e</t>
  </si>
  <si>
    <t>h_l_f</t>
  </si>
  <si>
    <t>H_f</t>
  </si>
  <si>
    <t>https://webbook.nist.gov/cgi/fluid.cgi?Action=Load&amp;ID=C7664417&amp;Type=SatP&amp;Digits=5&amp;THigh=237.73&amp;TLow=237.57&amp;TInc=0.01&amp;RefState=DEF&amp;TUnit=K&amp;PUnit=MPa&amp;DUnit=kg%2Fm3&amp;HUnit=kJ%2Fkg&amp;WUnit=m%2Fs&amp;VisUnit=uPa*s&amp;STUnit=N%2Fm</t>
  </si>
  <si>
    <t>kg/m^3</t>
  </si>
  <si>
    <t>J/kg</t>
  </si>
  <si>
    <t>J/kg K</t>
  </si>
  <si>
    <t>Specific heat capacity of  ammonia vapour at the end of flashing</t>
  </si>
  <si>
    <t>https://webbook.nist.gov/cgi/fluid.cgi?Action=Load&amp;ID=C7664417&amp;Type=IsoTherm&amp;Digits=5&amp;PLow=1.1&amp;PHigh=1.2&amp;PInc=0.02&amp;T=297.25&amp;RefState=DEF&amp;TUnit=K&amp;PUnit=MPa&amp;DUnit=kg%2Fm3&amp;HUnit=kJ%2Fkg&amp;WUnit=m%2Fs&amp;VisUnit=uPa*s&amp;STUnit=N%2Fm</t>
  </si>
  <si>
    <t>https://webbook.nist.gov/cgi/fluid.cgi?Action=Load&amp;ID=C7664417&amp;Type=IsoTherm&amp;Digits=5&amp;PLow=1.0&amp;PHigh=1.1&amp;PInc=0.01&amp;T=294.65&amp;RefState=DEF&amp;TUnit=K&amp;PUnit=MPa&amp;DUnit=kg%2Fm3&amp;HUnit=kJ%2Fkg&amp;WUnit=m%2Fs&amp;VisUnit=uPa*s&amp;STUnit=N%2Fm</t>
  </si>
  <si>
    <t>https://webbook.nist.gov/cgi/fluid.cgi?Action=Load&amp;ID=C7664417&amp;Type=IsoTherm&amp;Digits=5&amp;PLow=1.1&amp;PHigh=1.2&amp;PInc=0.02&amp;T=293.25&amp;RefState=DEF&amp;TUnit=K&amp;PUnit=MPa&amp;DUnit=kg%2Fm3&amp;HUnit=kJ%2Fkg&amp;WUnit=m%2Fs&amp;VisUnit=uPa*s&amp;STUnit=N%2Fm</t>
  </si>
  <si>
    <t xml:space="preserve">J/kg </t>
  </si>
  <si>
    <t>https://nvlpubs.nist.gov/nistpubs/bulletin/14/nbsbulletinv14n3p439_a2b.pdf</t>
  </si>
  <si>
    <t>theta</t>
  </si>
  <si>
    <t>(J/g)</t>
  </si>
  <si>
    <t>L</t>
  </si>
  <si>
    <t>(cal/g)</t>
  </si>
  <si>
    <t>Check made here to confirm that theta is in deg C</t>
  </si>
  <si>
    <t>Latent heat of vaporization, H_f</t>
  </si>
  <si>
    <t>NIST enthalpy of vapor</t>
  </si>
  <si>
    <t>NIST enthalpy of liquid</t>
  </si>
  <si>
    <t>h_v</t>
  </si>
  <si>
    <t>h_l</t>
  </si>
  <si>
    <t>H_f = h_v - h_l</t>
  </si>
  <si>
    <t>Osborne and Van Dusen Calc</t>
  </si>
  <si>
    <t>T</t>
  </si>
  <si>
    <t>Check against data from NIST Webbook at</t>
  </si>
  <si>
    <t>NIST Enthalpy of vaporization</t>
  </si>
  <si>
    <t>Difference</t>
  </si>
  <si>
    <t>From NIST Webbook</t>
  </si>
  <si>
    <t>Entered manually by user from looking up properties in NIST Webbook (see NIST Webbook Worksheet), i.e. if the conditions in green changed, then these would need to be looked up again</t>
  </si>
  <si>
    <t>From Osborne -Van Dusen (Equation 6)</t>
  </si>
  <si>
    <t>Velocity of ammonia at pipe exit</t>
  </si>
  <si>
    <t>v_e</t>
  </si>
  <si>
    <t>m/s</t>
  </si>
  <si>
    <t>Area of pipe exit</t>
  </si>
  <si>
    <t>A_e</t>
  </si>
  <si>
    <t>m^2</t>
  </si>
  <si>
    <t>Calculated from Equation (7)</t>
  </si>
  <si>
    <t>Velocity of two-phase ammonia mixture at the end of flashing</t>
  </si>
  <si>
    <t>v_f</t>
  </si>
  <si>
    <t>Calculated from Equation (8)</t>
  </si>
  <si>
    <t>X_f</t>
  </si>
  <si>
    <t>Quality (i.e. ammonia vapor mass fraction) at end of flashing</t>
  </si>
  <si>
    <t>Calculated from Equation (11)</t>
  </si>
  <si>
    <t>Cross-sectional area at the end of flashing</t>
  </si>
  <si>
    <t>A_f</t>
  </si>
  <si>
    <t>Calculated from Equation (12)</t>
  </si>
  <si>
    <t>Calculated from Equation (4)</t>
  </si>
  <si>
    <t>rho_f</t>
  </si>
  <si>
    <t>Density of the two-phase ammonia mixture at the end of flashing</t>
  </si>
  <si>
    <t>rho_e</t>
  </si>
  <si>
    <t>Density of ammonia at pipe exit (pressurized liquid ammonia)</t>
  </si>
  <si>
    <t>Diameter of the jet at the end of flashing</t>
  </si>
  <si>
    <t>D_f</t>
  </si>
  <si>
    <t>Calculated from A = pi D^2 / 4</t>
  </si>
  <si>
    <t>Calculated from area D = sqrt (4 A / pi)</t>
  </si>
  <si>
    <t>Stage 2: Calculation of air entrainment and ammonia droplet evaporation</t>
  </si>
  <si>
    <t>Recalculated manually by user using "Goal seek" function in Excel, this is not automatically updated and if conditions in green change then this too will need to be re-run</t>
  </si>
  <si>
    <t>Approx value (at 300K) from https://www.ohio.edu/mechanical/thermo/property_tables/air/air_Cp_Cv.html</t>
  </si>
  <si>
    <t>Specific heat capacity of air</t>
  </si>
  <si>
    <t>Specific heat capacity of ammonia vapour at the end of flashing</t>
  </si>
  <si>
    <t>Cp_a</t>
  </si>
  <si>
    <t>Molecular mass of ammonia</t>
  </si>
  <si>
    <t>M_g</t>
  </si>
  <si>
    <t>kg/kmol</t>
  </si>
  <si>
    <t>Source: NIST webbook https://webbook.nist.gov/cgi/cbook.cgi?ID=7664-41-7</t>
  </si>
  <si>
    <t>Molecular mass of air</t>
  </si>
  <si>
    <t>M_a</t>
  </si>
  <si>
    <t>Source: Google</t>
  </si>
  <si>
    <t>T_j</t>
  </si>
  <si>
    <t>Temperature at end of flashing</t>
  </si>
  <si>
    <t>Saturation vapor pressure</t>
  </si>
  <si>
    <t>P_sat_j</t>
  </si>
  <si>
    <t>Mole fraction of ammonia vapor at the end of the evaporation stage</t>
  </si>
  <si>
    <t>alpha_g_j</t>
  </si>
  <si>
    <t>P_a</t>
  </si>
  <si>
    <t>Left-hand-side of conservation of enthalpy equation</t>
  </si>
  <si>
    <t>Cp_g_v</t>
  </si>
  <si>
    <t>Calculated from Antoine equation (Equation 25)</t>
  </si>
  <si>
    <t>Calculated from Equation (24)</t>
  </si>
  <si>
    <t>Initial guess entered and then calculated by Excel "Goal Seek"</t>
  </si>
  <si>
    <t>Calculated from Equation (33) - should be close to zero</t>
  </si>
  <si>
    <t>Density of ammonia vapor  and air mixture at the end of evaporation stage</t>
  </si>
  <si>
    <t>rho_j</t>
  </si>
  <si>
    <t>Calculated from Equation (28)</t>
  </si>
  <si>
    <t>alpha_g_j * M_g</t>
  </si>
  <si>
    <t>(1 - alpha_g_j) * M_a</t>
  </si>
  <si>
    <t>Density of ammonia vapor at the end of flashing</t>
  </si>
  <si>
    <t>Density of air at the end of flashing</t>
  </si>
  <si>
    <t>rho_a_j</t>
  </si>
  <si>
    <t>Calculated from the ideal gas equation at pressure P_a and temperature T_j</t>
  </si>
  <si>
    <t>Intermediate value in calculation</t>
  </si>
  <si>
    <t>v_j</t>
  </si>
  <si>
    <t>Calculated from Equation (37)</t>
  </si>
  <si>
    <t>A_j</t>
  </si>
  <si>
    <t>Calculated from Equation (38)</t>
  </si>
  <si>
    <t>W_j</t>
  </si>
  <si>
    <t>Calculated from Equation (39)</t>
  </si>
  <si>
    <t>Half-width of equivalent source at end of evaporation</t>
  </si>
  <si>
    <t>Area of the equivalent source at the end of evaporation</t>
  </si>
  <si>
    <t>Velocity of the equivalent source at the end of evaporation</t>
  </si>
  <si>
    <t>phi</t>
  </si>
  <si>
    <t>Ratio of the densities of the jet to the ambient air</t>
  </si>
  <si>
    <t>Density of the air at atmospheric pressure and temperature</t>
  </si>
  <si>
    <t>rho_a (T_a)</t>
  </si>
  <si>
    <t>Buoyancy flux</t>
  </si>
  <si>
    <t>B</t>
  </si>
  <si>
    <t>Momentum flux</t>
  </si>
  <si>
    <t>f</t>
  </si>
  <si>
    <t>Length scale</t>
  </si>
  <si>
    <t>Velocity scale</t>
  </si>
  <si>
    <t>U</t>
  </si>
  <si>
    <t>Dimensionless parameter</t>
  </si>
  <si>
    <t>p</t>
  </si>
  <si>
    <t>q</t>
  </si>
  <si>
    <t>Model term</t>
  </si>
  <si>
    <t>(2 k x / L)</t>
  </si>
  <si>
    <t>Distance  to equivalent vapor-only source</t>
  </si>
  <si>
    <t>Calculated from Equation (48)</t>
  </si>
  <si>
    <t>Calculated from the ideal gas equation at pressure P_a and temperature T_a</t>
  </si>
  <si>
    <t>Calculated from Equation (40)</t>
  </si>
  <si>
    <t>Calculated from Equation (41)</t>
  </si>
  <si>
    <t>Calculated from Equation (42)</t>
  </si>
  <si>
    <t>Calculated from Equation (43)</t>
  </si>
  <si>
    <t>Calculated from Equation (44)</t>
  </si>
  <si>
    <t>Calculated from Equation (45)</t>
  </si>
  <si>
    <t>Calculated from Equation (46)</t>
  </si>
  <si>
    <t>Calculated from Equation (47)</t>
  </si>
  <si>
    <t>k</t>
  </si>
  <si>
    <t>x_j</t>
  </si>
  <si>
    <t>Assumed jet entrainment coefficient</t>
  </si>
  <si>
    <t>SMEDIS</t>
  </si>
  <si>
    <t>Downstream</t>
  </si>
  <si>
    <t>Distance (m)</t>
  </si>
  <si>
    <t>Velocity</t>
  </si>
  <si>
    <t>(m/s)</t>
  </si>
  <si>
    <t xml:space="preserve">Molar </t>
  </si>
  <si>
    <t>Conc (%)</t>
  </si>
  <si>
    <t>Half-Width</t>
  </si>
  <si>
    <t>(m)</t>
  </si>
  <si>
    <t xml:space="preserve">CERC (2000) SMEDIS Model Evaluation Protocol, Report SMEDIS/96/8/D, Version 2.0, Cambridge Environmental Research Consultants Ltd (CERC), 7 December 2000. https://admlc.com/smedis-dataset/ </t>
  </si>
  <si>
    <t>Source: HSE-Tickle Worksheet</t>
  </si>
  <si>
    <t>Trial</t>
  </si>
  <si>
    <t>The table copied below is the SMEDIS equivalent source conditions, which have been cut and pasted from the description of the Jack Rabbit III modeling exercise (file: "JRIII initial modeling exercise description v2.3.pdf")</t>
  </si>
  <si>
    <t>Color key:</t>
  </si>
  <si>
    <t>These are the recommended input values to setup atmospheric dispersion models for the Jack Rabbit III model inter-comparison exercise</t>
  </si>
  <si>
    <t>If you have time, try using these values in sensitivity tests, to see whether they give different results from the SMEDIS inputs</t>
  </si>
  <si>
    <t>rho_g_v_j</t>
  </si>
  <si>
    <t>m^3/s</t>
  </si>
  <si>
    <t>m^4/s^2</t>
  </si>
  <si>
    <t>For a description of the calculation presented below, see file: "JRIII MWG equivalent source conditions for Desert Tortoise v1.2.pdf"</t>
  </si>
  <si>
    <t>HSE-Tickle Results (calculated in this spreadsheet - see Worksheet "HSE-Tickle Calc")</t>
  </si>
  <si>
    <t>Percentage Difference between SMEDIS and HSE-Tickle results</t>
  </si>
  <si>
    <t>Aspect ratio (2 sigma_y / sigma z)</t>
  </si>
  <si>
    <t>Height</t>
  </si>
  <si>
    <t>sigma_y</t>
  </si>
  <si>
    <t>2 sigma_y</t>
  </si>
  <si>
    <t xml:space="preserve">Width </t>
  </si>
  <si>
    <t>sigma_z</t>
  </si>
  <si>
    <t>Area</t>
  </si>
  <si>
    <t>CHECK</t>
  </si>
  <si>
    <t>Mole fraction from SMEDIS</t>
  </si>
  <si>
    <t>Temperature from SMEDIS</t>
  </si>
  <si>
    <t>Cloud half-width from SMEDIS</t>
  </si>
  <si>
    <t>Cloud area</t>
  </si>
  <si>
    <t>New Aspect ratio (2 sigma_y / sigma z)</t>
  </si>
  <si>
    <t>Density of air at SMEDIS T_j</t>
  </si>
  <si>
    <t>Density of ammonia vapour at SMEDIS T_j</t>
  </si>
  <si>
    <t>rho_g_j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</si>
</sst>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00"/>
    <numFmt numFmtId="166" formatCode="0.0000"/>
    <numFmt numFmtId="167" formatCode="_-* #,##0_-;\-* #,##0_-;_-* &quot;-&quot;??_-;_-@_-"/>
    <numFmt numFmtId="168" formatCode="0.00000"/>
    <numFmt numFmtId="169" formatCode="0.000E+00"/>
    <numFmt numFmtId="170"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82">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0" borderId="0" xfId="0" applyAlignment="1">
      <alignment horizontal="right"/>
    </xf>
    <xf numFmtId="0" fontId="0" fillId="0" borderId="0" xfId="0" applyAlignment="1">
      <alignment horizontal="center"/>
    </xf>
    <xf numFmtId="0" fontId="0" fillId="0" borderId="0" xfId="0" applyAlignment="1">
      <alignment horizontal="left"/>
    </xf>
    <xf numFmtId="0" fontId="3" fillId="0" borderId="0" xfId="0" applyFont="1" applyAlignment="1">
      <alignment horizontal="left"/>
    </xf>
    <xf numFmtId="0" fontId="2" fillId="0" borderId="0" xfId="0" applyFont="1" applyAlignment="1">
      <alignment horizontal="center"/>
    </xf>
    <xf numFmtId="0" fontId="2" fillId="0" borderId="0" xfId="0" applyFont="1"/>
    <xf numFmtId="164" fontId="0" fillId="2" borderId="0" xfId="0" applyNumberFormat="1" applyFill="1"/>
    <xf numFmtId="165" fontId="0" fillId="2" borderId="0" xfId="0" applyNumberFormat="1" applyFill="1"/>
    <xf numFmtId="166" fontId="0" fillId="2" borderId="0" xfId="0" applyNumberFormat="1" applyFill="1"/>
    <xf numFmtId="11" fontId="0" fillId="2" borderId="0" xfId="0" applyNumberFormat="1" applyFill="1"/>
    <xf numFmtId="0" fontId="4" fillId="0" borderId="0" xfId="3"/>
    <xf numFmtId="0" fontId="0" fillId="0" borderId="0" xfId="0" applyAlignment="1">
      <alignment vertical="center"/>
    </xf>
    <xf numFmtId="0" fontId="4" fillId="0" borderId="0" xfId="3" applyAlignment="1">
      <alignment vertical="center"/>
    </xf>
    <xf numFmtId="167" fontId="0" fillId="0" borderId="0" xfId="1" applyNumberFormat="1" applyFont="1"/>
    <xf numFmtId="168" fontId="0" fillId="0" borderId="0" xfId="0" applyNumberFormat="1"/>
    <xf numFmtId="166" fontId="0" fillId="0" borderId="0" xfId="0" applyNumberFormat="1"/>
    <xf numFmtId="11" fontId="0" fillId="0" borderId="0" xfId="0" applyNumberFormat="1"/>
    <xf numFmtId="165" fontId="0" fillId="0" borderId="0" xfId="0" applyNumberFormat="1"/>
    <xf numFmtId="2" fontId="0" fillId="0" borderId="0" xfId="0" applyNumberFormat="1"/>
    <xf numFmtId="0" fontId="0" fillId="0" borderId="0" xfId="0" applyBorder="1" applyAlignment="1">
      <alignment horizontal="right" vertical="center"/>
    </xf>
    <xf numFmtId="2" fontId="0" fillId="0" borderId="0" xfId="0" applyNumberFormat="1" applyAlignment="1">
      <alignment horizontal="center"/>
    </xf>
    <xf numFmtId="0" fontId="2" fillId="4" borderId="0" xfId="0" applyFont="1" applyFill="1" applyAlignment="1">
      <alignment horizontal="center"/>
    </xf>
    <xf numFmtId="2" fontId="0" fillId="0" borderId="0" xfId="0" applyNumberFormat="1" applyFill="1" applyAlignment="1">
      <alignment horizontal="center"/>
    </xf>
    <xf numFmtId="0" fontId="0" fillId="0" borderId="0" xfId="0" applyFill="1" applyBorder="1" applyAlignment="1">
      <alignment horizontal="right" vertical="center"/>
    </xf>
    <xf numFmtId="0" fontId="2" fillId="2" borderId="0" xfId="0" applyFont="1" applyFill="1" applyAlignment="1">
      <alignment horizontal="center"/>
    </xf>
    <xf numFmtId="0" fontId="2" fillId="3" borderId="0" xfId="0" applyFont="1" applyFill="1" applyAlignment="1">
      <alignment horizontal="center"/>
    </xf>
    <xf numFmtId="11" fontId="0" fillId="0" borderId="0" xfId="0" applyNumberFormat="1" applyAlignment="1">
      <alignment horizontal="center"/>
    </xf>
    <xf numFmtId="169" fontId="0" fillId="0" borderId="0" xfId="0" applyNumberFormat="1"/>
    <xf numFmtId="164" fontId="0" fillId="0" borderId="0" xfId="0" applyNumberFormat="1"/>
    <xf numFmtId="164" fontId="0" fillId="0" borderId="0" xfId="0" applyNumberFormat="1" applyAlignment="1">
      <alignment horizontal="center"/>
    </xf>
    <xf numFmtId="170" fontId="0" fillId="0" borderId="0" xfId="2" applyNumberFormat="1" applyFont="1"/>
    <xf numFmtId="11" fontId="0" fillId="3" borderId="0" xfId="0" applyNumberFormat="1" applyFill="1"/>
    <xf numFmtId="2" fontId="0" fillId="3" borderId="0" xfId="0" applyNumberFormat="1" applyFill="1"/>
    <xf numFmtId="0" fontId="0" fillId="0" borderId="0" xfId="0" applyFill="1"/>
    <xf numFmtId="11" fontId="0" fillId="4" borderId="0" xfId="0" applyNumberFormat="1" applyFill="1"/>
    <xf numFmtId="1" fontId="0" fillId="0" borderId="0" xfId="0" applyNumberFormat="1"/>
    <xf numFmtId="0" fontId="0" fillId="5" borderId="0" xfId="0" applyFill="1" applyAlignment="1">
      <alignment horizontal="center"/>
    </xf>
    <xf numFmtId="164" fontId="0" fillId="5" borderId="0" xfId="0" applyNumberFormat="1" applyFill="1"/>
    <xf numFmtId="2" fontId="0" fillId="5" borderId="0" xfId="0" applyNumberFormat="1" applyFill="1"/>
    <xf numFmtId="165" fontId="0" fillId="5" borderId="0" xfId="0" applyNumberFormat="1" applyFill="1"/>
    <xf numFmtId="0" fontId="0" fillId="0" borderId="0" xfId="0" applyFill="1" applyAlignment="1">
      <alignment horizontal="center"/>
    </xf>
    <xf numFmtId="165" fontId="0" fillId="0" borderId="0" xfId="0" applyNumberFormat="1" applyFill="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9" fontId="0" fillId="0" borderId="8" xfId="2" applyFont="1" applyBorder="1" applyAlignment="1">
      <alignment horizontal="center"/>
    </xf>
    <xf numFmtId="9" fontId="0" fillId="0" borderId="9" xfId="2" applyFont="1" applyBorder="1" applyAlignment="1">
      <alignment horizontal="center"/>
    </xf>
    <xf numFmtId="9" fontId="0" fillId="0" borderId="11" xfId="2" applyFont="1" applyBorder="1" applyAlignment="1">
      <alignment horizontal="center"/>
    </xf>
    <xf numFmtId="9" fontId="0" fillId="0" borderId="12" xfId="2" applyFont="1" applyBorder="1" applyAlignment="1">
      <alignment horizontal="center"/>
    </xf>
    <xf numFmtId="0" fontId="0" fillId="5" borderId="7" xfId="0" applyFill="1" applyBorder="1" applyAlignment="1">
      <alignment horizontal="center"/>
    </xf>
    <xf numFmtId="0" fontId="0" fillId="5" borderId="8"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0" fillId="5" borderId="11" xfId="0" applyFill="1" applyBorder="1" applyAlignment="1">
      <alignment horizontal="center"/>
    </xf>
    <xf numFmtId="0" fontId="0" fillId="5" borderId="12" xfId="0" applyFill="1" applyBorder="1" applyAlignment="1">
      <alignment horizontal="center"/>
    </xf>
    <xf numFmtId="164" fontId="0" fillId="5" borderId="11" xfId="0" applyNumberFormat="1" applyFill="1" applyBorder="1" applyAlignment="1">
      <alignment horizontal="center"/>
    </xf>
    <xf numFmtId="2" fontId="0" fillId="5" borderId="11" xfId="0" applyNumberFormat="1" applyFill="1" applyBorder="1" applyAlignment="1">
      <alignment horizontal="center"/>
    </xf>
    <xf numFmtId="1" fontId="0" fillId="5" borderId="11" xfId="0" applyNumberFormat="1" applyFill="1" applyBorder="1" applyAlignment="1">
      <alignment horizontal="center"/>
    </xf>
    <xf numFmtId="2" fontId="0" fillId="5" borderId="12" xfId="0" applyNumberFormat="1" applyFill="1" applyBorder="1" applyAlignment="1">
      <alignment horizontal="center"/>
    </xf>
    <xf numFmtId="0" fontId="0" fillId="3" borderId="16" xfId="0" applyFill="1" applyBorder="1" applyAlignment="1">
      <alignment horizontal="center"/>
    </xf>
    <xf numFmtId="164" fontId="0" fillId="3" borderId="17" xfId="0" applyNumberFormat="1" applyFill="1" applyBorder="1" applyAlignment="1">
      <alignment horizontal="center"/>
    </xf>
    <xf numFmtId="2" fontId="0" fillId="3" borderId="17" xfId="0" applyNumberFormat="1" applyFill="1" applyBorder="1" applyAlignment="1">
      <alignment horizontal="center"/>
    </xf>
    <xf numFmtId="1" fontId="0" fillId="3" borderId="17" xfId="0" applyNumberFormat="1" applyFill="1" applyBorder="1" applyAlignment="1">
      <alignment horizontal="center"/>
    </xf>
    <xf numFmtId="2" fontId="0" fillId="3" borderId="18" xfId="0" applyNumberFormat="1" applyFill="1" applyBorder="1" applyAlignment="1">
      <alignment horizontal="center"/>
    </xf>
    <xf numFmtId="0" fontId="0" fillId="3" borderId="13" xfId="0" applyFill="1" applyBorder="1" applyAlignment="1">
      <alignment horizontal="center"/>
    </xf>
    <xf numFmtId="164" fontId="0" fillId="3" borderId="14" xfId="0" applyNumberFormat="1" applyFill="1" applyBorder="1" applyAlignment="1">
      <alignment horizontal="center"/>
    </xf>
    <xf numFmtId="2" fontId="0" fillId="3" borderId="14" xfId="0" applyNumberFormat="1" applyFill="1" applyBorder="1" applyAlignment="1">
      <alignment horizontal="center"/>
    </xf>
    <xf numFmtId="1" fontId="0" fillId="3" borderId="14" xfId="0" applyNumberFormat="1" applyFill="1" applyBorder="1" applyAlignment="1">
      <alignment horizontal="center"/>
    </xf>
    <xf numFmtId="2" fontId="0" fillId="3" borderId="15" xfId="0" applyNumberFormat="1" applyFill="1" applyBorder="1" applyAlignment="1">
      <alignment horizontal="center"/>
    </xf>
    <xf numFmtId="0" fontId="0" fillId="0" borderId="0" xfId="0" applyFill="1" applyBorder="1" applyAlignment="1">
      <alignment horizontal="left"/>
    </xf>
    <xf numFmtId="0" fontId="2" fillId="0" borderId="0" xfId="0" applyFont="1" applyFill="1" applyBorder="1" applyAlignment="1">
      <alignment horizontal="center"/>
    </xf>
    <xf numFmtId="164" fontId="0" fillId="5" borderId="8" xfId="0" applyNumberFormat="1" applyFill="1" applyBorder="1" applyAlignment="1">
      <alignment horizontal="center"/>
    </xf>
  </cellXfs>
  <cellStyles count="4">
    <cellStyle name="Comma" xfId="1" builtinId="3"/>
    <cellStyle name="Hyperlink" xfId="3" builtinId="8"/>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emf"/><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emf"/><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3" Type="http://schemas.openxmlformats.org/officeDocument/2006/relationships/image" Target="../media/image31.emf"/><Relationship Id="rId2" Type="http://schemas.openxmlformats.org/officeDocument/2006/relationships/image" Target="../media/image30.emf"/><Relationship Id="rId1" Type="http://schemas.openxmlformats.org/officeDocument/2006/relationships/image" Target="../media/image29.emf"/><Relationship Id="rId5" Type="http://schemas.openxmlformats.org/officeDocument/2006/relationships/image" Target="../media/image33.emf"/><Relationship Id="rId4" Type="http://schemas.openxmlformats.org/officeDocument/2006/relationships/image" Target="../media/image32.emf"/></Relationships>
</file>

<file path=xl/drawings/_rels/drawing5.xml.rels><?xml version="1.0" encoding="UTF-8" standalone="yes"?>
<Relationships xmlns="http://schemas.openxmlformats.org/package/2006/relationships"><Relationship Id="rId3" Type="http://schemas.openxmlformats.org/officeDocument/2006/relationships/image" Target="../media/image34.emf"/><Relationship Id="rId2" Type="http://schemas.openxmlformats.org/officeDocument/2006/relationships/image" Target="../media/image33.emf"/><Relationship Id="rId1" Type="http://schemas.openxmlformats.org/officeDocument/2006/relationships/image" Target="../media/image32.emf"/><Relationship Id="rId6" Type="http://schemas.openxmlformats.org/officeDocument/2006/relationships/image" Target="../media/image37.emf"/><Relationship Id="rId5" Type="http://schemas.openxmlformats.org/officeDocument/2006/relationships/image" Target="../media/image36.emf"/><Relationship Id="rId4" Type="http://schemas.openxmlformats.org/officeDocument/2006/relationships/image" Target="../media/image35.emf"/></Relationships>
</file>

<file path=xl/drawings/_rels/drawing6.x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39.emf"/><Relationship Id="rId1" Type="http://schemas.openxmlformats.org/officeDocument/2006/relationships/image" Target="../media/image38.emf"/><Relationship Id="rId4" Type="http://schemas.openxmlformats.org/officeDocument/2006/relationships/image" Target="../media/image41.emf"/></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2</xdr:row>
      <xdr:rowOff>133350</xdr:rowOff>
    </xdr:from>
    <xdr:to>
      <xdr:col>9</xdr:col>
      <xdr:colOff>371475</xdr:colOff>
      <xdr:row>10</xdr:row>
      <xdr:rowOff>183236</xdr:rowOff>
    </xdr:to>
    <xdr:pic>
      <xdr:nvPicPr>
        <xdr:cNvPr id="2" name="Picture 1">
          <a:extLst>
            <a:ext uri="{FF2B5EF4-FFF2-40B4-BE49-F238E27FC236}">
              <a16:creationId xmlns:a16="http://schemas.microsoft.com/office/drawing/2014/main" id="{755A402C-DFDD-4847-8883-FCE90BF0F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514350"/>
          <a:ext cx="6962775" cy="1573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28</xdr:row>
      <xdr:rowOff>38100</xdr:rowOff>
    </xdr:from>
    <xdr:to>
      <xdr:col>8</xdr:col>
      <xdr:colOff>409575</xdr:colOff>
      <xdr:row>29</xdr:row>
      <xdr:rowOff>19050</xdr:rowOff>
    </xdr:to>
    <xdr:cxnSp macro="">
      <xdr:nvCxnSpPr>
        <xdr:cNvPr id="5" name="Straight Arrow Connector 4">
          <a:extLst>
            <a:ext uri="{FF2B5EF4-FFF2-40B4-BE49-F238E27FC236}">
              <a16:creationId xmlns:a16="http://schemas.microsoft.com/office/drawing/2014/main" id="{CC01E83E-6474-47C6-8576-4EE02DB327B1}"/>
            </a:ext>
          </a:extLst>
        </xdr:cNvPr>
        <xdr:cNvCxnSpPr/>
      </xdr:nvCxnSpPr>
      <xdr:spPr>
        <a:xfrm flipH="1" flipV="1">
          <a:off x="5781675" y="5448300"/>
          <a:ext cx="971550" cy="180975"/>
        </a:xfrm>
        <a:prstGeom prst="straightConnector1">
          <a:avLst/>
        </a:prstGeom>
        <a:ln w="19050">
          <a:solidFill>
            <a:schemeClr val="bg1">
              <a:lumMod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381000</xdr:colOff>
      <xdr:row>24</xdr:row>
      <xdr:rowOff>104775</xdr:rowOff>
    </xdr:from>
    <xdr:to>
      <xdr:col>15</xdr:col>
      <xdr:colOff>19050</xdr:colOff>
      <xdr:row>30</xdr:row>
      <xdr:rowOff>123826</xdr:rowOff>
    </xdr:to>
    <xdr:sp macro="" textlink="">
      <xdr:nvSpPr>
        <xdr:cNvPr id="3" name="TextBox 2">
          <a:extLst>
            <a:ext uri="{FF2B5EF4-FFF2-40B4-BE49-F238E27FC236}">
              <a16:creationId xmlns:a16="http://schemas.microsoft.com/office/drawing/2014/main" id="{DAF96F50-25AC-4746-B97D-B32A0C361B0B}"/>
            </a:ext>
          </a:extLst>
        </xdr:cNvPr>
        <xdr:cNvSpPr txBox="1"/>
      </xdr:nvSpPr>
      <xdr:spPr>
        <a:xfrm>
          <a:off x="6724650" y="4733925"/>
          <a:ext cx="3905250" cy="1190626"/>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There are some</a:t>
          </a:r>
          <a:r>
            <a:rPr lang="en-GB" sz="1100" baseline="0"/>
            <a:t> differences between the SMEDIS equivalent source conditions and the HSE-Tickle conditions calculated in this spreadsheet. These are likely due to the choice of inputs, e.g. atmospheric pressure, thermodynamic properties and jet entrainment coefficient. The values of the inputs used in the SMEDIS calculations were not defined in CERC (2000).</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539750</xdr:colOff>
      <xdr:row>19</xdr:row>
      <xdr:rowOff>1792</xdr:rowOff>
    </xdr:to>
    <xdr:pic>
      <xdr:nvPicPr>
        <xdr:cNvPr id="2" name="Picture 1">
          <a:extLst>
            <a:ext uri="{FF2B5EF4-FFF2-40B4-BE49-F238E27FC236}">
              <a16:creationId xmlns:a16="http://schemas.microsoft.com/office/drawing/2014/main" id="{A16C0511-01D6-43F2-A871-22768C210E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5616575" cy="3049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161925</xdr:colOff>
      <xdr:row>33</xdr:row>
      <xdr:rowOff>76200</xdr:rowOff>
    </xdr:from>
    <xdr:to>
      <xdr:col>17</xdr:col>
      <xdr:colOff>247650</xdr:colOff>
      <xdr:row>35</xdr:row>
      <xdr:rowOff>66675</xdr:rowOff>
    </xdr:to>
    <xdr:pic>
      <xdr:nvPicPr>
        <xdr:cNvPr id="3" name="Picture 2">
          <a:extLst>
            <a:ext uri="{FF2B5EF4-FFF2-40B4-BE49-F238E27FC236}">
              <a16:creationId xmlns:a16="http://schemas.microsoft.com/office/drawing/2014/main" id="{C1BAA28C-6CCD-41AC-9C0B-B2EA97B5303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05950" y="6172200"/>
          <a:ext cx="1304925" cy="371475"/>
        </a:xfrm>
        <a:prstGeom prst="rect">
          <a:avLst/>
        </a:prstGeom>
        <a:solidFill>
          <a:schemeClr val="lt1"/>
        </a:solidFill>
      </xdr:spPr>
    </xdr:pic>
    <xdr:clientData/>
  </xdr:twoCellAnchor>
  <xdr:twoCellAnchor>
    <xdr:from>
      <xdr:col>16</xdr:col>
      <xdr:colOff>57150</xdr:colOff>
      <xdr:row>39</xdr:row>
      <xdr:rowOff>114300</xdr:rowOff>
    </xdr:from>
    <xdr:to>
      <xdr:col>22</xdr:col>
      <xdr:colOff>533400</xdr:colOff>
      <xdr:row>41</xdr:row>
      <xdr:rowOff>95250</xdr:rowOff>
    </xdr:to>
    <xdr:pic>
      <xdr:nvPicPr>
        <xdr:cNvPr id="4" name="Picture 3">
          <a:extLst>
            <a:ext uri="{FF2B5EF4-FFF2-40B4-BE49-F238E27FC236}">
              <a16:creationId xmlns:a16="http://schemas.microsoft.com/office/drawing/2014/main" id="{7D83562B-21BC-43BF-AC3E-3812FDB38906}"/>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39350" y="7353300"/>
          <a:ext cx="4133850" cy="361950"/>
        </a:xfrm>
        <a:prstGeom prst="rect">
          <a:avLst/>
        </a:prstGeom>
        <a:solidFill>
          <a:schemeClr val="bg1"/>
        </a:solidFill>
      </xdr:spPr>
    </xdr:pic>
    <xdr:clientData/>
  </xdr:twoCellAnchor>
  <xdr:twoCellAnchor>
    <xdr:from>
      <xdr:col>15</xdr:col>
      <xdr:colOff>542925</xdr:colOff>
      <xdr:row>42</xdr:row>
      <xdr:rowOff>85725</xdr:rowOff>
    </xdr:from>
    <xdr:to>
      <xdr:col>16</xdr:col>
      <xdr:colOff>533400</xdr:colOff>
      <xdr:row>44</xdr:row>
      <xdr:rowOff>76200</xdr:rowOff>
    </xdr:to>
    <xdr:pic>
      <xdr:nvPicPr>
        <xdr:cNvPr id="5" name="Picture 4">
          <a:extLst>
            <a:ext uri="{FF2B5EF4-FFF2-40B4-BE49-F238E27FC236}">
              <a16:creationId xmlns:a16="http://schemas.microsoft.com/office/drawing/2014/main" id="{9822450B-52DB-45AC-B2B2-DEE900DDAE8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15525" y="7896225"/>
          <a:ext cx="600075" cy="371475"/>
        </a:xfrm>
        <a:prstGeom prst="rect">
          <a:avLst/>
        </a:prstGeom>
        <a:solidFill>
          <a:schemeClr val="bg1"/>
        </a:solidFill>
      </xdr:spPr>
    </xdr:pic>
    <xdr:clientData/>
  </xdr:twoCellAnchor>
  <xdr:twoCellAnchor>
    <xdr:from>
      <xdr:col>17</xdr:col>
      <xdr:colOff>257175</xdr:colOff>
      <xdr:row>43</xdr:row>
      <xdr:rowOff>85725</xdr:rowOff>
    </xdr:from>
    <xdr:to>
      <xdr:col>19</xdr:col>
      <xdr:colOff>200025</xdr:colOff>
      <xdr:row>45</xdr:row>
      <xdr:rowOff>104775</xdr:rowOff>
    </xdr:to>
    <xdr:pic>
      <xdr:nvPicPr>
        <xdr:cNvPr id="6" name="Picture 5">
          <a:extLst>
            <a:ext uri="{FF2B5EF4-FFF2-40B4-BE49-F238E27FC236}">
              <a16:creationId xmlns:a16="http://schemas.microsoft.com/office/drawing/2014/main" id="{3311B46C-D396-410C-A344-396675B2BB3D}"/>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48975" y="8086725"/>
          <a:ext cx="1162050" cy="400050"/>
        </a:xfrm>
        <a:prstGeom prst="rect">
          <a:avLst/>
        </a:prstGeom>
        <a:solidFill>
          <a:schemeClr val="bg1"/>
        </a:solidFill>
      </xdr:spPr>
    </xdr:pic>
    <xdr:clientData/>
  </xdr:twoCellAnchor>
  <xdr:twoCellAnchor>
    <xdr:from>
      <xdr:col>15</xdr:col>
      <xdr:colOff>285750</xdr:colOff>
      <xdr:row>45</xdr:row>
      <xdr:rowOff>142875</xdr:rowOff>
    </xdr:from>
    <xdr:to>
      <xdr:col>18</xdr:col>
      <xdr:colOff>447675</xdr:colOff>
      <xdr:row>47</xdr:row>
      <xdr:rowOff>152400</xdr:rowOff>
    </xdr:to>
    <xdr:pic>
      <xdr:nvPicPr>
        <xdr:cNvPr id="7" name="Picture 6">
          <a:extLst>
            <a:ext uri="{FF2B5EF4-FFF2-40B4-BE49-F238E27FC236}">
              <a16:creationId xmlns:a16="http://schemas.microsoft.com/office/drawing/2014/main" id="{0E770E99-53BD-45F4-98E8-4855E5D77A5C}"/>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58350" y="8524875"/>
          <a:ext cx="1990725" cy="390525"/>
        </a:xfrm>
        <a:prstGeom prst="rect">
          <a:avLst/>
        </a:prstGeom>
        <a:solidFill>
          <a:schemeClr val="bg1"/>
        </a:solidFill>
      </xdr:spPr>
    </xdr:pic>
    <xdr:clientData/>
  </xdr:twoCellAnchor>
  <xdr:twoCellAnchor>
    <xdr:from>
      <xdr:col>15</xdr:col>
      <xdr:colOff>600075</xdr:colOff>
      <xdr:row>50</xdr:row>
      <xdr:rowOff>76200</xdr:rowOff>
    </xdr:from>
    <xdr:to>
      <xdr:col>17</xdr:col>
      <xdr:colOff>133350</xdr:colOff>
      <xdr:row>52</xdr:row>
      <xdr:rowOff>85725</xdr:rowOff>
    </xdr:to>
    <xdr:pic>
      <xdr:nvPicPr>
        <xdr:cNvPr id="8" name="Picture 7">
          <a:extLst>
            <a:ext uri="{FF2B5EF4-FFF2-40B4-BE49-F238E27FC236}">
              <a16:creationId xmlns:a16="http://schemas.microsoft.com/office/drawing/2014/main" id="{CA7A8607-A12C-48F1-B413-7EF1296ED8D8}"/>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72675" y="9410700"/>
          <a:ext cx="752475" cy="390525"/>
        </a:xfrm>
        <a:prstGeom prst="rect">
          <a:avLst/>
        </a:prstGeom>
        <a:solidFill>
          <a:schemeClr val="bg1"/>
        </a:solidFill>
      </xdr:spPr>
    </xdr:pic>
    <xdr:clientData/>
  </xdr:twoCellAnchor>
  <xdr:twoCellAnchor>
    <xdr:from>
      <xdr:col>15</xdr:col>
      <xdr:colOff>314325</xdr:colOff>
      <xdr:row>48</xdr:row>
      <xdr:rowOff>0</xdr:rowOff>
    </xdr:from>
    <xdr:to>
      <xdr:col>17</xdr:col>
      <xdr:colOff>304800</xdr:colOff>
      <xdr:row>50</xdr:row>
      <xdr:rowOff>38100</xdr:rowOff>
    </xdr:to>
    <xdr:pic>
      <xdr:nvPicPr>
        <xdr:cNvPr id="9" name="Picture 8">
          <a:extLst>
            <a:ext uri="{FF2B5EF4-FFF2-40B4-BE49-F238E27FC236}">
              <a16:creationId xmlns:a16="http://schemas.microsoft.com/office/drawing/2014/main" id="{8AFA86E6-A9A3-48FE-BC5D-32D92023365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686925" y="8953500"/>
          <a:ext cx="12096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342900</xdr:colOff>
      <xdr:row>63</xdr:row>
      <xdr:rowOff>28575</xdr:rowOff>
    </xdr:from>
    <xdr:to>
      <xdr:col>24</xdr:col>
      <xdr:colOff>171450</xdr:colOff>
      <xdr:row>64</xdr:row>
      <xdr:rowOff>57150</xdr:rowOff>
    </xdr:to>
    <xdr:pic>
      <xdr:nvPicPr>
        <xdr:cNvPr id="10" name="Picture 9">
          <a:extLst>
            <a:ext uri="{FF2B5EF4-FFF2-40B4-BE49-F238E27FC236}">
              <a16:creationId xmlns:a16="http://schemas.microsoft.com/office/drawing/2014/main" id="{D9B5FFF6-9FDB-487B-A030-8251E9884687}"/>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96625" y="11839575"/>
          <a:ext cx="4095750" cy="219075"/>
        </a:xfrm>
        <a:prstGeom prst="rect">
          <a:avLst/>
        </a:prstGeom>
        <a:solidFill>
          <a:schemeClr val="bg1"/>
        </a:solidFill>
      </xdr:spPr>
    </xdr:pic>
    <xdr:clientData/>
  </xdr:twoCellAnchor>
  <xdr:twoCellAnchor>
    <xdr:from>
      <xdr:col>18</xdr:col>
      <xdr:colOff>495300</xdr:colOff>
      <xdr:row>59</xdr:row>
      <xdr:rowOff>171450</xdr:rowOff>
    </xdr:from>
    <xdr:to>
      <xdr:col>21</xdr:col>
      <xdr:colOff>257175</xdr:colOff>
      <xdr:row>61</xdr:row>
      <xdr:rowOff>180975</xdr:rowOff>
    </xdr:to>
    <xdr:pic>
      <xdr:nvPicPr>
        <xdr:cNvPr id="11" name="Picture 10">
          <a:extLst>
            <a:ext uri="{FF2B5EF4-FFF2-40B4-BE49-F238E27FC236}">
              <a16:creationId xmlns:a16="http://schemas.microsoft.com/office/drawing/2014/main" id="{F25959F1-A79E-4103-98AC-53D08D8430B8}"/>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58625" y="11220450"/>
          <a:ext cx="1590675" cy="390525"/>
        </a:xfrm>
        <a:prstGeom prst="rect">
          <a:avLst/>
        </a:prstGeom>
        <a:solidFill>
          <a:schemeClr val="bg1"/>
        </a:solidFill>
      </xdr:spPr>
    </xdr:pic>
    <xdr:clientData/>
  </xdr:twoCellAnchor>
  <xdr:twoCellAnchor>
    <xdr:from>
      <xdr:col>17</xdr:col>
      <xdr:colOff>209550</xdr:colOff>
      <xdr:row>61</xdr:row>
      <xdr:rowOff>57150</xdr:rowOff>
    </xdr:from>
    <xdr:to>
      <xdr:col>18</xdr:col>
      <xdr:colOff>361950</xdr:colOff>
      <xdr:row>63</xdr:row>
      <xdr:rowOff>47625</xdr:rowOff>
    </xdr:to>
    <xdr:pic>
      <xdr:nvPicPr>
        <xdr:cNvPr id="12" name="Picture 11">
          <a:extLst>
            <a:ext uri="{FF2B5EF4-FFF2-40B4-BE49-F238E27FC236}">
              <a16:creationId xmlns:a16="http://schemas.microsoft.com/office/drawing/2014/main" id="{326EEE26-18B4-482D-8155-3E3EBBCA40FE}"/>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63275" y="11487150"/>
          <a:ext cx="762000" cy="371475"/>
        </a:xfrm>
        <a:prstGeom prst="rect">
          <a:avLst/>
        </a:prstGeom>
        <a:solidFill>
          <a:schemeClr val="bg1"/>
        </a:solidFill>
      </xdr:spPr>
    </xdr:pic>
    <xdr:clientData/>
  </xdr:twoCellAnchor>
  <xdr:twoCellAnchor>
    <xdr:from>
      <xdr:col>15</xdr:col>
      <xdr:colOff>47625</xdr:colOff>
      <xdr:row>57</xdr:row>
      <xdr:rowOff>114300</xdr:rowOff>
    </xdr:from>
    <xdr:to>
      <xdr:col>22</xdr:col>
      <xdr:colOff>9525</xdr:colOff>
      <xdr:row>63</xdr:row>
      <xdr:rowOff>28575</xdr:rowOff>
    </xdr:to>
    <xdr:sp macro="" textlink="">
      <xdr:nvSpPr>
        <xdr:cNvPr id="13" name="TextBox 12">
          <a:extLst>
            <a:ext uri="{FF2B5EF4-FFF2-40B4-BE49-F238E27FC236}">
              <a16:creationId xmlns:a16="http://schemas.microsoft.com/office/drawing/2014/main" id="{81EE7719-3EF8-4B2D-98C4-F474BFB0A9F3}"/>
            </a:ext>
          </a:extLst>
        </xdr:cNvPr>
        <xdr:cNvSpPr txBox="1"/>
      </xdr:nvSpPr>
      <xdr:spPr>
        <a:xfrm>
          <a:off x="9582150" y="10782300"/>
          <a:ext cx="4229100" cy="1057275"/>
        </a:xfrm>
        <a:prstGeom prst="rect">
          <a:avLst/>
        </a:prstGeom>
        <a:solidFill>
          <a:schemeClr val="lt1"/>
        </a:solidFill>
        <a:ln w="254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To run "Goal seek":</a:t>
          </a:r>
        </a:p>
        <a:p>
          <a:r>
            <a:rPr lang="en-GB" sz="1100"/>
            <a:t>1.)</a:t>
          </a:r>
          <a:r>
            <a:rPr lang="en-GB" sz="1100" baseline="0"/>
            <a:t> Select from drop down menu Data &gt; What-If-Analysis &gt; Goal Seek ...</a:t>
          </a:r>
        </a:p>
        <a:p>
          <a:r>
            <a:rPr lang="en-GB" sz="1100" baseline="0"/>
            <a:t>2.) Set cell: select residual (cell I63, J63 or K63)</a:t>
          </a:r>
        </a:p>
        <a:p>
          <a:r>
            <a:rPr lang="en-GB" sz="1100" baseline="0"/>
            <a:t>3.) To value: 0 (enter zero)</a:t>
          </a:r>
        </a:p>
        <a:p>
          <a:r>
            <a:rPr lang="en-GB" sz="1100" baseline="0"/>
            <a:t>4.) By changing cell: select temperature T_j (cell I60, J60 or K60)</a:t>
          </a:r>
          <a:endParaRPr lang="en-GB" sz="1100"/>
        </a:p>
      </xdr:txBody>
    </xdr:sp>
    <xdr:clientData/>
  </xdr:twoCellAnchor>
  <xdr:twoCellAnchor>
    <xdr:from>
      <xdr:col>20</xdr:col>
      <xdr:colOff>27454</xdr:colOff>
      <xdr:row>67</xdr:row>
      <xdr:rowOff>68356</xdr:rowOff>
    </xdr:from>
    <xdr:to>
      <xdr:col>22</xdr:col>
      <xdr:colOff>413497</xdr:colOff>
      <xdr:row>70</xdr:row>
      <xdr:rowOff>106456</xdr:rowOff>
    </xdr:to>
    <xdr:pic>
      <xdr:nvPicPr>
        <xdr:cNvPr id="14" name="Picture 13">
          <a:extLst>
            <a:ext uri="{FF2B5EF4-FFF2-40B4-BE49-F238E27FC236}">
              <a16:creationId xmlns:a16="http://schemas.microsoft.com/office/drawing/2014/main" id="{202F9D69-4A14-4660-A762-83871CB17215}"/>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71101" y="12831856"/>
          <a:ext cx="1596278" cy="609600"/>
        </a:xfrm>
        <a:prstGeom prst="rect">
          <a:avLst/>
        </a:prstGeom>
        <a:solidFill>
          <a:schemeClr val="bg1"/>
        </a:solidFill>
      </xdr:spPr>
    </xdr:pic>
    <xdr:clientData/>
  </xdr:twoCellAnchor>
  <xdr:twoCellAnchor>
    <xdr:from>
      <xdr:col>15</xdr:col>
      <xdr:colOff>133350</xdr:colOff>
      <xdr:row>69</xdr:row>
      <xdr:rowOff>161925</xdr:rowOff>
    </xdr:from>
    <xdr:to>
      <xdr:col>17</xdr:col>
      <xdr:colOff>352425</xdr:colOff>
      <xdr:row>72</xdr:row>
      <xdr:rowOff>161925</xdr:rowOff>
    </xdr:to>
    <xdr:pic>
      <xdr:nvPicPr>
        <xdr:cNvPr id="16" name="Picture 15">
          <a:extLst>
            <a:ext uri="{FF2B5EF4-FFF2-40B4-BE49-F238E27FC236}">
              <a16:creationId xmlns:a16="http://schemas.microsoft.com/office/drawing/2014/main" id="{A62A4B13-E4FE-4289-9E24-B894B3DAFB46}"/>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67900" y="13115925"/>
          <a:ext cx="1438275" cy="571500"/>
        </a:xfrm>
        <a:prstGeom prst="rect">
          <a:avLst/>
        </a:prstGeom>
        <a:solidFill>
          <a:schemeClr val="bg1"/>
        </a:solidFill>
      </xdr:spPr>
    </xdr:pic>
    <xdr:clientData/>
  </xdr:twoCellAnchor>
  <xdr:twoCellAnchor>
    <xdr:from>
      <xdr:col>17</xdr:col>
      <xdr:colOff>428625</xdr:colOff>
      <xdr:row>72</xdr:row>
      <xdr:rowOff>76200</xdr:rowOff>
    </xdr:from>
    <xdr:to>
      <xdr:col>18</xdr:col>
      <xdr:colOff>571500</xdr:colOff>
      <xdr:row>74</xdr:row>
      <xdr:rowOff>133350</xdr:rowOff>
    </xdr:to>
    <xdr:pic>
      <xdr:nvPicPr>
        <xdr:cNvPr id="17" name="Picture 16">
          <a:extLst>
            <a:ext uri="{FF2B5EF4-FFF2-40B4-BE49-F238E27FC236}">
              <a16:creationId xmlns:a16="http://schemas.microsoft.com/office/drawing/2014/main" id="{CAFA4D46-10CB-4C7F-9461-97EA06C7A646}"/>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382375" y="13601700"/>
          <a:ext cx="752475" cy="438150"/>
        </a:xfrm>
        <a:prstGeom prst="rect">
          <a:avLst/>
        </a:prstGeom>
        <a:solidFill>
          <a:schemeClr val="bg1"/>
        </a:solidFill>
      </xdr:spPr>
    </xdr:pic>
    <xdr:clientData/>
  </xdr:twoCellAnchor>
  <xdr:twoCellAnchor>
    <xdr:from>
      <xdr:col>15</xdr:col>
      <xdr:colOff>476250</xdr:colOff>
      <xdr:row>74</xdr:row>
      <xdr:rowOff>0</xdr:rowOff>
    </xdr:from>
    <xdr:to>
      <xdr:col>16</xdr:col>
      <xdr:colOff>447675</xdr:colOff>
      <xdr:row>76</xdr:row>
      <xdr:rowOff>142875</xdr:rowOff>
    </xdr:to>
    <xdr:pic>
      <xdr:nvPicPr>
        <xdr:cNvPr id="18" name="Picture 17">
          <a:extLst>
            <a:ext uri="{FF2B5EF4-FFF2-40B4-BE49-F238E27FC236}">
              <a16:creationId xmlns:a16="http://schemas.microsoft.com/office/drawing/2014/main" id="{27A22F37-97F8-4981-8D2D-A8E44B8560FC}"/>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10800" y="13906500"/>
          <a:ext cx="581025" cy="523875"/>
        </a:xfrm>
        <a:prstGeom prst="rect">
          <a:avLst/>
        </a:prstGeom>
        <a:solidFill>
          <a:schemeClr val="bg1"/>
        </a:solidFill>
      </xdr:spPr>
    </xdr:pic>
    <xdr:clientData/>
  </xdr:twoCellAnchor>
  <xdr:twoCellAnchor>
    <xdr:from>
      <xdr:col>15</xdr:col>
      <xdr:colOff>0</xdr:colOff>
      <xdr:row>78</xdr:row>
      <xdr:rowOff>0</xdr:rowOff>
    </xdr:from>
    <xdr:to>
      <xdr:col>16</xdr:col>
      <xdr:colOff>66675</xdr:colOff>
      <xdr:row>80</xdr:row>
      <xdr:rowOff>0</xdr:rowOff>
    </xdr:to>
    <xdr:pic>
      <xdr:nvPicPr>
        <xdr:cNvPr id="19" name="Picture 18">
          <a:extLst>
            <a:ext uri="{FF2B5EF4-FFF2-40B4-BE49-F238E27FC236}">
              <a16:creationId xmlns:a16="http://schemas.microsoft.com/office/drawing/2014/main" id="{7584BAAE-5834-4C58-B972-ECAC8971915C}"/>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34550" y="14668500"/>
          <a:ext cx="676275" cy="381000"/>
        </a:xfrm>
        <a:prstGeom prst="rect">
          <a:avLst/>
        </a:prstGeom>
        <a:solidFill>
          <a:schemeClr val="bg1"/>
        </a:solidFill>
      </xdr:spPr>
    </xdr:pic>
    <xdr:clientData/>
  </xdr:twoCellAnchor>
  <xdr:twoCellAnchor>
    <xdr:from>
      <xdr:col>15</xdr:col>
      <xdr:colOff>66675</xdr:colOff>
      <xdr:row>80</xdr:row>
      <xdr:rowOff>66675</xdr:rowOff>
    </xdr:from>
    <xdr:to>
      <xdr:col>16</xdr:col>
      <xdr:colOff>447675</xdr:colOff>
      <xdr:row>81</xdr:row>
      <xdr:rowOff>85725</xdr:rowOff>
    </xdr:to>
    <xdr:pic>
      <xdr:nvPicPr>
        <xdr:cNvPr id="20" name="Picture 19">
          <a:extLst>
            <a:ext uri="{FF2B5EF4-FFF2-40B4-BE49-F238E27FC236}">
              <a16:creationId xmlns:a16="http://schemas.microsoft.com/office/drawing/2014/main" id="{64865C28-B535-4524-BEE1-0C77994BCF49}"/>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06000" y="15116175"/>
          <a:ext cx="990600" cy="209550"/>
        </a:xfrm>
        <a:prstGeom prst="rect">
          <a:avLst/>
        </a:prstGeom>
        <a:solidFill>
          <a:schemeClr val="bg1"/>
        </a:solidFill>
      </xdr:spPr>
    </xdr:pic>
    <xdr:clientData/>
  </xdr:twoCellAnchor>
  <xdr:twoCellAnchor>
    <xdr:from>
      <xdr:col>15</xdr:col>
      <xdr:colOff>66675</xdr:colOff>
      <xdr:row>81</xdr:row>
      <xdr:rowOff>85725</xdr:rowOff>
    </xdr:from>
    <xdr:to>
      <xdr:col>16</xdr:col>
      <xdr:colOff>104775</xdr:colOff>
      <xdr:row>82</xdr:row>
      <xdr:rowOff>114300</xdr:rowOff>
    </xdr:to>
    <xdr:pic>
      <xdr:nvPicPr>
        <xdr:cNvPr id="21" name="Picture 20">
          <a:extLst>
            <a:ext uri="{FF2B5EF4-FFF2-40B4-BE49-F238E27FC236}">
              <a16:creationId xmlns:a16="http://schemas.microsoft.com/office/drawing/2014/main" id="{ED9BBF7C-CEE1-43DA-B686-063223BE99C5}"/>
            </a:ext>
          </a:extLst>
        </xdr:cNvPr>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906000" y="15325725"/>
          <a:ext cx="64770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142875</xdr:colOff>
      <xdr:row>82</xdr:row>
      <xdr:rowOff>142875</xdr:rowOff>
    </xdr:from>
    <xdr:to>
      <xdr:col>16</xdr:col>
      <xdr:colOff>285750</xdr:colOff>
      <xdr:row>85</xdr:row>
      <xdr:rowOff>19050</xdr:rowOff>
    </xdr:to>
    <xdr:pic>
      <xdr:nvPicPr>
        <xdr:cNvPr id="22" name="Picture 21">
          <a:extLst>
            <a:ext uri="{FF2B5EF4-FFF2-40B4-BE49-F238E27FC236}">
              <a16:creationId xmlns:a16="http://schemas.microsoft.com/office/drawing/2014/main" id="{BF7BB92E-232A-4745-9437-9B88BDB0BC6D}"/>
            </a:ext>
          </a:extLst>
        </xdr:cNvPr>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77425" y="15573375"/>
          <a:ext cx="7524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457200</xdr:colOff>
      <xdr:row>83</xdr:row>
      <xdr:rowOff>0</xdr:rowOff>
    </xdr:from>
    <xdr:to>
      <xdr:col>17</xdr:col>
      <xdr:colOff>228600</xdr:colOff>
      <xdr:row>84</xdr:row>
      <xdr:rowOff>152400</xdr:rowOff>
    </xdr:to>
    <xdr:pic>
      <xdr:nvPicPr>
        <xdr:cNvPr id="23" name="Picture 22">
          <a:extLst>
            <a:ext uri="{FF2B5EF4-FFF2-40B4-BE49-F238E27FC236}">
              <a16:creationId xmlns:a16="http://schemas.microsoft.com/office/drawing/2014/main" id="{A47930B2-1F2C-4BED-ACA9-2952EC1410E3}"/>
            </a:ext>
          </a:extLst>
        </xdr:cNvPr>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01350" y="15621000"/>
          <a:ext cx="3810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57150</xdr:colOff>
      <xdr:row>85</xdr:row>
      <xdr:rowOff>180975</xdr:rowOff>
    </xdr:from>
    <xdr:to>
      <xdr:col>16</xdr:col>
      <xdr:colOff>133350</xdr:colOff>
      <xdr:row>87</xdr:row>
      <xdr:rowOff>152400</xdr:rowOff>
    </xdr:to>
    <xdr:pic>
      <xdr:nvPicPr>
        <xdr:cNvPr id="24" name="Picture 23">
          <a:extLst>
            <a:ext uri="{FF2B5EF4-FFF2-40B4-BE49-F238E27FC236}">
              <a16:creationId xmlns:a16="http://schemas.microsoft.com/office/drawing/2014/main" id="{5083E63C-ED7B-4EFC-84A4-D53B66AD4FFB}"/>
            </a:ext>
          </a:extLst>
        </xdr:cNvPr>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91700" y="16182975"/>
          <a:ext cx="685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495300</xdr:colOff>
      <xdr:row>85</xdr:row>
      <xdr:rowOff>152400</xdr:rowOff>
    </xdr:from>
    <xdr:to>
      <xdr:col>18</xdr:col>
      <xdr:colOff>238125</xdr:colOff>
      <xdr:row>87</xdr:row>
      <xdr:rowOff>180975</xdr:rowOff>
    </xdr:to>
    <xdr:pic>
      <xdr:nvPicPr>
        <xdr:cNvPr id="25" name="Picture 24">
          <a:extLst>
            <a:ext uri="{FF2B5EF4-FFF2-40B4-BE49-F238E27FC236}">
              <a16:creationId xmlns:a16="http://schemas.microsoft.com/office/drawing/2014/main" id="{9E97D25A-BC87-4C5C-AD3D-8A1B12B6060B}"/>
            </a:ext>
          </a:extLst>
        </xdr:cNvPr>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39450" y="16154400"/>
          <a:ext cx="96202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95250</xdr:colOff>
      <xdr:row>88</xdr:row>
      <xdr:rowOff>161925</xdr:rowOff>
    </xdr:from>
    <xdr:to>
      <xdr:col>19</xdr:col>
      <xdr:colOff>276225</xdr:colOff>
      <xdr:row>89</xdr:row>
      <xdr:rowOff>180975</xdr:rowOff>
    </xdr:to>
    <xdr:pic>
      <xdr:nvPicPr>
        <xdr:cNvPr id="26" name="Picture 25">
          <a:extLst>
            <a:ext uri="{FF2B5EF4-FFF2-40B4-BE49-F238E27FC236}">
              <a16:creationId xmlns:a16="http://schemas.microsoft.com/office/drawing/2014/main" id="{994681D3-6E60-4366-A581-E7057FF89A20}"/>
            </a:ext>
          </a:extLst>
        </xdr:cNvPr>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29800" y="16735425"/>
          <a:ext cx="261937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66675</xdr:colOff>
      <xdr:row>90</xdr:row>
      <xdr:rowOff>133350</xdr:rowOff>
    </xdr:from>
    <xdr:to>
      <xdr:col>16</xdr:col>
      <xdr:colOff>428625</xdr:colOff>
      <xdr:row>92</xdr:row>
      <xdr:rowOff>95250</xdr:rowOff>
    </xdr:to>
    <xdr:pic>
      <xdr:nvPicPr>
        <xdr:cNvPr id="27" name="Picture 26">
          <a:extLst>
            <a:ext uri="{FF2B5EF4-FFF2-40B4-BE49-F238E27FC236}">
              <a16:creationId xmlns:a16="http://schemas.microsoft.com/office/drawing/2014/main" id="{5A0930F2-AA2D-4D23-A545-69458C1EE8E8}"/>
            </a:ext>
          </a:extLst>
        </xdr:cNvPr>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801225" y="17087850"/>
          <a:ext cx="9715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246529</xdr:colOff>
      <xdr:row>109</xdr:row>
      <xdr:rowOff>100853</xdr:rowOff>
    </xdr:from>
    <xdr:to>
      <xdr:col>14</xdr:col>
      <xdr:colOff>27454</xdr:colOff>
      <xdr:row>112</xdr:row>
      <xdr:rowOff>138953</xdr:rowOff>
    </xdr:to>
    <xdr:pic>
      <xdr:nvPicPr>
        <xdr:cNvPr id="28" name="Picture 27">
          <a:extLst>
            <a:ext uri="{FF2B5EF4-FFF2-40B4-BE49-F238E27FC236}">
              <a16:creationId xmlns:a16="http://schemas.microsoft.com/office/drawing/2014/main" id="{2BCFAB12-272F-4534-B9AE-C206D37FCEA8}"/>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844117" y="20865353"/>
          <a:ext cx="1596278" cy="609600"/>
        </a:xfrm>
        <a:prstGeom prst="rect">
          <a:avLst/>
        </a:prstGeom>
        <a:solidFill>
          <a:schemeClr val="bg1"/>
        </a:solidFill>
      </xdr:spPr>
    </xdr:pic>
    <xdr:clientData/>
  </xdr:twoCellAnchor>
  <xdr:twoCellAnchor editAs="oneCell">
    <xdr:from>
      <xdr:col>12</xdr:col>
      <xdr:colOff>33617</xdr:colOff>
      <xdr:row>94</xdr:row>
      <xdr:rowOff>44523</xdr:rowOff>
    </xdr:from>
    <xdr:to>
      <xdr:col>25</xdr:col>
      <xdr:colOff>86845</xdr:colOff>
      <xdr:row>104</xdr:row>
      <xdr:rowOff>81243</xdr:rowOff>
    </xdr:to>
    <xdr:pic>
      <xdr:nvPicPr>
        <xdr:cNvPr id="29" name="Picture 28">
          <a:extLst>
            <a:ext uri="{FF2B5EF4-FFF2-40B4-BE49-F238E27FC236}">
              <a16:creationId xmlns:a16="http://schemas.microsoft.com/office/drawing/2014/main" id="{2BD53589-D087-476E-8F51-97C130618C7A}"/>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236323" y="17951523"/>
          <a:ext cx="7919757" cy="1941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161925</xdr:rowOff>
    </xdr:from>
    <xdr:to>
      <xdr:col>12</xdr:col>
      <xdr:colOff>466725</xdr:colOff>
      <xdr:row>39</xdr:row>
      <xdr:rowOff>133350</xdr:rowOff>
    </xdr:to>
    <xdr:pic>
      <xdr:nvPicPr>
        <xdr:cNvPr id="2" name="Picture 1">
          <a:extLst>
            <a:ext uri="{FF2B5EF4-FFF2-40B4-BE49-F238E27FC236}">
              <a16:creationId xmlns:a16="http://schemas.microsoft.com/office/drawing/2014/main" id="{1CFF47C2-E013-4117-8F0F-A644D0F92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
          <a:ext cx="7781925" cy="682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39</xdr:row>
      <xdr:rowOff>0</xdr:rowOff>
    </xdr:from>
    <xdr:to>
      <xdr:col>25</xdr:col>
      <xdr:colOff>9525</xdr:colOff>
      <xdr:row>74</xdr:row>
      <xdr:rowOff>9525</xdr:rowOff>
    </xdr:to>
    <xdr:pic>
      <xdr:nvPicPr>
        <xdr:cNvPr id="3" name="Picture 2">
          <a:extLst>
            <a:ext uri="{FF2B5EF4-FFF2-40B4-BE49-F238E27FC236}">
              <a16:creationId xmlns:a16="http://schemas.microsoft.com/office/drawing/2014/main" id="{EB90F5AF-A894-4708-BF18-B6893BB6D2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7429500"/>
          <a:ext cx="15268575" cy="6677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266700</xdr:colOff>
      <xdr:row>28</xdr:row>
      <xdr:rowOff>133350</xdr:rowOff>
    </xdr:from>
    <xdr:to>
      <xdr:col>15</xdr:col>
      <xdr:colOff>28575</xdr:colOff>
      <xdr:row>50</xdr:row>
      <xdr:rowOff>76200</xdr:rowOff>
    </xdr:to>
    <xdr:cxnSp macro="">
      <xdr:nvCxnSpPr>
        <xdr:cNvPr id="5" name="Straight Arrow Connector 4">
          <a:extLst>
            <a:ext uri="{FF2B5EF4-FFF2-40B4-BE49-F238E27FC236}">
              <a16:creationId xmlns:a16="http://schemas.microsoft.com/office/drawing/2014/main" id="{46A6A5F2-BBDC-4046-8D74-6A5996DB86A4}"/>
            </a:ext>
          </a:extLst>
        </xdr:cNvPr>
        <xdr:cNvCxnSpPr/>
      </xdr:nvCxnSpPr>
      <xdr:spPr>
        <a:xfrm flipH="1">
          <a:off x="2705100" y="5467350"/>
          <a:ext cx="6467475" cy="4133850"/>
        </a:xfrm>
        <a:prstGeom prst="straightConnector1">
          <a:avLst/>
        </a:prstGeom>
        <a:ln w="1905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123825</xdr:colOff>
      <xdr:row>33</xdr:row>
      <xdr:rowOff>19050</xdr:rowOff>
    </xdr:from>
    <xdr:to>
      <xdr:col>18</xdr:col>
      <xdr:colOff>28575</xdr:colOff>
      <xdr:row>37</xdr:row>
      <xdr:rowOff>104775</xdr:rowOff>
    </xdr:to>
    <xdr:sp macro="" textlink="">
      <xdr:nvSpPr>
        <xdr:cNvPr id="6" name="TextBox 5">
          <a:extLst>
            <a:ext uri="{FF2B5EF4-FFF2-40B4-BE49-F238E27FC236}">
              <a16:creationId xmlns:a16="http://schemas.microsoft.com/office/drawing/2014/main" id="{75F697A7-94F8-4BE4-8021-73D6095236F2}"/>
            </a:ext>
          </a:extLst>
        </xdr:cNvPr>
        <xdr:cNvSpPr txBox="1"/>
      </xdr:nvSpPr>
      <xdr:spPr>
        <a:xfrm>
          <a:off x="8048625" y="6305550"/>
          <a:ext cx="2952750" cy="8477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Using the values that are valid for temperatures</a:t>
          </a:r>
          <a:r>
            <a:rPr lang="en-GB" sz="1100" baseline="0"/>
            <a:t> below the atmospheric boiling point of ammonia since the jet cools as it entrains air and follows the saturated vapor pressure curve</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333375</xdr:colOff>
      <xdr:row>6</xdr:row>
      <xdr:rowOff>85725</xdr:rowOff>
    </xdr:to>
    <xdr:pic>
      <xdr:nvPicPr>
        <xdr:cNvPr id="2" name="Picture 1">
          <a:extLst>
            <a:ext uri="{FF2B5EF4-FFF2-40B4-BE49-F238E27FC236}">
              <a16:creationId xmlns:a16="http://schemas.microsoft.com/office/drawing/2014/main" id="{914E6E71-7560-4F13-86E5-3763BCE01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460057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5</xdr:row>
      <xdr:rowOff>77526</xdr:rowOff>
    </xdr:from>
    <xdr:to>
      <xdr:col>8</xdr:col>
      <xdr:colOff>190500</xdr:colOff>
      <xdr:row>16</xdr:row>
      <xdr:rowOff>104775</xdr:rowOff>
    </xdr:to>
    <xdr:pic>
      <xdr:nvPicPr>
        <xdr:cNvPr id="3" name="Picture 2">
          <a:extLst>
            <a:ext uri="{FF2B5EF4-FFF2-40B4-BE49-F238E27FC236}">
              <a16:creationId xmlns:a16="http://schemas.microsoft.com/office/drawing/2014/main" id="{3EC2D2FB-4F33-4A8F-B54D-2699239C0C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1030026"/>
          <a:ext cx="5057775" cy="2122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16</xdr:row>
      <xdr:rowOff>142875</xdr:rowOff>
    </xdr:from>
    <xdr:to>
      <xdr:col>8</xdr:col>
      <xdr:colOff>252324</xdr:colOff>
      <xdr:row>32</xdr:row>
      <xdr:rowOff>95250</xdr:rowOff>
    </xdr:to>
    <xdr:pic>
      <xdr:nvPicPr>
        <xdr:cNvPr id="4" name="Picture 3">
          <a:extLst>
            <a:ext uri="{FF2B5EF4-FFF2-40B4-BE49-F238E27FC236}">
              <a16:creationId xmlns:a16="http://schemas.microsoft.com/office/drawing/2014/main" id="{B9319C1F-F5E9-4510-8BF8-F258A1EFB4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 y="3190875"/>
          <a:ext cx="5119599" cy="300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31</xdr:col>
      <xdr:colOff>142875</xdr:colOff>
      <xdr:row>44</xdr:row>
      <xdr:rowOff>180975</xdr:rowOff>
    </xdr:to>
    <xdr:pic>
      <xdr:nvPicPr>
        <xdr:cNvPr id="5" name="Picture 4">
          <a:extLst>
            <a:ext uri="{FF2B5EF4-FFF2-40B4-BE49-F238E27FC236}">
              <a16:creationId xmlns:a16="http://schemas.microsoft.com/office/drawing/2014/main" id="{3F8B5530-C7EC-4C9F-8069-DE8E044D3E1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63375" y="190500"/>
          <a:ext cx="8067675" cy="837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571500</xdr:colOff>
      <xdr:row>45</xdr:row>
      <xdr:rowOff>28575</xdr:rowOff>
    </xdr:from>
    <xdr:to>
      <xdr:col>30</xdr:col>
      <xdr:colOff>295275</xdr:colOff>
      <xdr:row>57</xdr:row>
      <xdr:rowOff>9525</xdr:rowOff>
    </xdr:to>
    <xdr:pic>
      <xdr:nvPicPr>
        <xdr:cNvPr id="6" name="Picture 5">
          <a:extLst>
            <a:ext uri="{FF2B5EF4-FFF2-40B4-BE49-F238E27FC236}">
              <a16:creationId xmlns:a16="http://schemas.microsoft.com/office/drawing/2014/main" id="{3DDE594C-90DE-405E-A1DF-5CD3A520FFA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725275" y="8601075"/>
          <a:ext cx="7648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57150</xdr:colOff>
      <xdr:row>24</xdr:row>
      <xdr:rowOff>123825</xdr:rowOff>
    </xdr:from>
    <xdr:to>
      <xdr:col>23</xdr:col>
      <xdr:colOff>600075</xdr:colOff>
      <xdr:row>25</xdr:row>
      <xdr:rowOff>133350</xdr:rowOff>
    </xdr:to>
    <xdr:sp macro="" textlink="">
      <xdr:nvSpPr>
        <xdr:cNvPr id="7" name="Rectangle 6">
          <a:extLst>
            <a:ext uri="{FF2B5EF4-FFF2-40B4-BE49-F238E27FC236}">
              <a16:creationId xmlns:a16="http://schemas.microsoft.com/office/drawing/2014/main" id="{C10F0B98-38A7-404A-9BAA-CB6DA589A629}"/>
            </a:ext>
          </a:extLst>
        </xdr:cNvPr>
        <xdr:cNvSpPr/>
      </xdr:nvSpPr>
      <xdr:spPr>
        <a:xfrm>
          <a:off x="14868525" y="4695825"/>
          <a:ext cx="542925" cy="20002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571500</xdr:colOff>
      <xdr:row>52</xdr:row>
      <xdr:rowOff>133350</xdr:rowOff>
    </xdr:from>
    <xdr:to>
      <xdr:col>23</xdr:col>
      <xdr:colOff>504825</xdr:colOff>
      <xdr:row>53</xdr:row>
      <xdr:rowOff>142875</xdr:rowOff>
    </xdr:to>
    <xdr:sp macro="" textlink="">
      <xdr:nvSpPr>
        <xdr:cNvPr id="8" name="Rectangle 7">
          <a:extLst>
            <a:ext uri="{FF2B5EF4-FFF2-40B4-BE49-F238E27FC236}">
              <a16:creationId xmlns:a16="http://schemas.microsoft.com/office/drawing/2014/main" id="{8A4DA05D-0DC9-4DC5-BCB1-8F86757CE94B}"/>
            </a:ext>
          </a:extLst>
        </xdr:cNvPr>
        <xdr:cNvSpPr/>
      </xdr:nvSpPr>
      <xdr:spPr>
        <a:xfrm>
          <a:off x="14773275" y="10039350"/>
          <a:ext cx="542925" cy="20002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142875</xdr:colOff>
      <xdr:row>44</xdr:row>
      <xdr:rowOff>180975</xdr:rowOff>
    </xdr:to>
    <xdr:pic>
      <xdr:nvPicPr>
        <xdr:cNvPr id="5" name="Picture 4">
          <a:extLst>
            <a:ext uri="{FF2B5EF4-FFF2-40B4-BE49-F238E27FC236}">
              <a16:creationId xmlns:a16="http://schemas.microsoft.com/office/drawing/2014/main" id="{752DFAF4-65FA-4FF0-9DD5-721D34505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8067675" cy="837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45</xdr:row>
      <xdr:rowOff>104775</xdr:rowOff>
    </xdr:from>
    <xdr:to>
      <xdr:col>12</xdr:col>
      <xdr:colOff>476250</xdr:colOff>
      <xdr:row>57</xdr:row>
      <xdr:rowOff>85725</xdr:rowOff>
    </xdr:to>
    <xdr:pic>
      <xdr:nvPicPr>
        <xdr:cNvPr id="6" name="Picture 5">
          <a:extLst>
            <a:ext uri="{FF2B5EF4-FFF2-40B4-BE49-F238E27FC236}">
              <a16:creationId xmlns:a16="http://schemas.microsoft.com/office/drawing/2014/main" id="{4D06DC72-0AE4-42A4-BAA4-8B6F1E32D7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8677275"/>
          <a:ext cx="7648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56</xdr:row>
      <xdr:rowOff>161925</xdr:rowOff>
    </xdr:from>
    <xdr:to>
      <xdr:col>12</xdr:col>
      <xdr:colOff>600075</xdr:colOff>
      <xdr:row>74</xdr:row>
      <xdr:rowOff>28575</xdr:rowOff>
    </xdr:to>
    <xdr:pic>
      <xdr:nvPicPr>
        <xdr:cNvPr id="7" name="Picture 6">
          <a:extLst>
            <a:ext uri="{FF2B5EF4-FFF2-40B4-BE49-F238E27FC236}">
              <a16:creationId xmlns:a16="http://schemas.microsoft.com/office/drawing/2014/main" id="{57BC7054-F954-4DA7-9671-8A13058A59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10829925"/>
          <a:ext cx="772477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447675</xdr:colOff>
      <xdr:row>24</xdr:row>
      <xdr:rowOff>95250</xdr:rowOff>
    </xdr:from>
    <xdr:to>
      <xdr:col>1</xdr:col>
      <xdr:colOff>447675</xdr:colOff>
      <xdr:row>25</xdr:row>
      <xdr:rowOff>142875</xdr:rowOff>
    </xdr:to>
    <xdr:sp macro="" textlink="">
      <xdr:nvSpPr>
        <xdr:cNvPr id="8" name="Rectangle 7">
          <a:extLst>
            <a:ext uri="{FF2B5EF4-FFF2-40B4-BE49-F238E27FC236}">
              <a16:creationId xmlns:a16="http://schemas.microsoft.com/office/drawing/2014/main" id="{FB34B7BB-4ED1-41C1-BF78-717DDE06F8FB}"/>
            </a:ext>
          </a:extLst>
        </xdr:cNvPr>
        <xdr:cNvSpPr/>
      </xdr:nvSpPr>
      <xdr:spPr>
        <a:xfrm>
          <a:off x="447675" y="4667250"/>
          <a:ext cx="609600" cy="23812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338649</xdr:colOff>
      <xdr:row>24</xdr:row>
      <xdr:rowOff>104775</xdr:rowOff>
    </xdr:from>
    <xdr:to>
      <xdr:col>3</xdr:col>
      <xdr:colOff>232851</xdr:colOff>
      <xdr:row>25</xdr:row>
      <xdr:rowOff>152400</xdr:rowOff>
    </xdr:to>
    <xdr:sp macro="" textlink="">
      <xdr:nvSpPr>
        <xdr:cNvPr id="9" name="Rectangle 8">
          <a:extLst>
            <a:ext uri="{FF2B5EF4-FFF2-40B4-BE49-F238E27FC236}">
              <a16:creationId xmlns:a16="http://schemas.microsoft.com/office/drawing/2014/main" id="{1660C4ED-5A5E-460D-997F-213CED934136}"/>
            </a:ext>
          </a:extLst>
        </xdr:cNvPr>
        <xdr:cNvSpPr/>
      </xdr:nvSpPr>
      <xdr:spPr>
        <a:xfrm>
          <a:off x="1557849" y="4676775"/>
          <a:ext cx="503802" cy="23812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56284</xdr:colOff>
      <xdr:row>24</xdr:row>
      <xdr:rowOff>114300</xdr:rowOff>
    </xdr:from>
    <xdr:to>
      <xdr:col>6</xdr:col>
      <xdr:colOff>866</xdr:colOff>
      <xdr:row>25</xdr:row>
      <xdr:rowOff>161925</xdr:rowOff>
    </xdr:to>
    <xdr:sp macro="" textlink="">
      <xdr:nvSpPr>
        <xdr:cNvPr id="10" name="Rectangle 9">
          <a:extLst>
            <a:ext uri="{FF2B5EF4-FFF2-40B4-BE49-F238E27FC236}">
              <a16:creationId xmlns:a16="http://schemas.microsoft.com/office/drawing/2014/main" id="{DED104C1-862D-4FA3-B1FF-6D6824C2D732}"/>
            </a:ext>
          </a:extLst>
        </xdr:cNvPr>
        <xdr:cNvSpPr/>
      </xdr:nvSpPr>
      <xdr:spPr>
        <a:xfrm>
          <a:off x="3104284" y="4686300"/>
          <a:ext cx="554182" cy="23812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428625</xdr:colOff>
      <xdr:row>43</xdr:row>
      <xdr:rowOff>66675</xdr:rowOff>
    </xdr:from>
    <xdr:to>
      <xdr:col>1</xdr:col>
      <xdr:colOff>428625</xdr:colOff>
      <xdr:row>44</xdr:row>
      <xdr:rowOff>114300</xdr:rowOff>
    </xdr:to>
    <xdr:sp macro="" textlink="">
      <xdr:nvSpPr>
        <xdr:cNvPr id="12" name="Rectangle 11">
          <a:extLst>
            <a:ext uri="{FF2B5EF4-FFF2-40B4-BE49-F238E27FC236}">
              <a16:creationId xmlns:a16="http://schemas.microsoft.com/office/drawing/2014/main" id="{6191F8A6-51FB-400D-9631-665B64269D02}"/>
            </a:ext>
          </a:extLst>
        </xdr:cNvPr>
        <xdr:cNvSpPr/>
      </xdr:nvSpPr>
      <xdr:spPr>
        <a:xfrm>
          <a:off x="428625" y="8258175"/>
          <a:ext cx="609600"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319599</xdr:colOff>
      <xdr:row>43</xdr:row>
      <xdr:rowOff>76200</xdr:rowOff>
    </xdr:from>
    <xdr:to>
      <xdr:col>3</xdr:col>
      <xdr:colOff>213801</xdr:colOff>
      <xdr:row>44</xdr:row>
      <xdr:rowOff>123825</xdr:rowOff>
    </xdr:to>
    <xdr:sp macro="" textlink="">
      <xdr:nvSpPr>
        <xdr:cNvPr id="13" name="Rectangle 12">
          <a:extLst>
            <a:ext uri="{FF2B5EF4-FFF2-40B4-BE49-F238E27FC236}">
              <a16:creationId xmlns:a16="http://schemas.microsoft.com/office/drawing/2014/main" id="{F66D426A-9F7C-4093-B7FB-D403E54CEEC5}"/>
            </a:ext>
          </a:extLst>
        </xdr:cNvPr>
        <xdr:cNvSpPr/>
      </xdr:nvSpPr>
      <xdr:spPr>
        <a:xfrm>
          <a:off x="1538799" y="8267700"/>
          <a:ext cx="503802"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37234</xdr:colOff>
      <xdr:row>43</xdr:row>
      <xdr:rowOff>85725</xdr:rowOff>
    </xdr:from>
    <xdr:to>
      <xdr:col>5</xdr:col>
      <xdr:colOff>591416</xdr:colOff>
      <xdr:row>44</xdr:row>
      <xdr:rowOff>133350</xdr:rowOff>
    </xdr:to>
    <xdr:sp macro="" textlink="">
      <xdr:nvSpPr>
        <xdr:cNvPr id="14" name="Rectangle 13">
          <a:extLst>
            <a:ext uri="{FF2B5EF4-FFF2-40B4-BE49-F238E27FC236}">
              <a16:creationId xmlns:a16="http://schemas.microsoft.com/office/drawing/2014/main" id="{D87AC744-9744-410E-A1C7-870CFDE4D72E}"/>
            </a:ext>
          </a:extLst>
        </xdr:cNvPr>
        <xdr:cNvSpPr/>
      </xdr:nvSpPr>
      <xdr:spPr>
        <a:xfrm>
          <a:off x="3085234" y="8277225"/>
          <a:ext cx="554182"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542925</xdr:colOff>
      <xdr:row>53</xdr:row>
      <xdr:rowOff>9525</xdr:rowOff>
    </xdr:from>
    <xdr:to>
      <xdr:col>1</xdr:col>
      <xdr:colOff>432139</xdr:colOff>
      <xdr:row>54</xdr:row>
      <xdr:rowOff>57150</xdr:rowOff>
    </xdr:to>
    <xdr:sp macro="" textlink="">
      <xdr:nvSpPr>
        <xdr:cNvPr id="16" name="Rectangle 15">
          <a:extLst>
            <a:ext uri="{FF2B5EF4-FFF2-40B4-BE49-F238E27FC236}">
              <a16:creationId xmlns:a16="http://schemas.microsoft.com/office/drawing/2014/main" id="{C4D20FDB-7232-48B7-B4D7-D54FBE5EB94C}"/>
            </a:ext>
          </a:extLst>
        </xdr:cNvPr>
        <xdr:cNvSpPr/>
      </xdr:nvSpPr>
      <xdr:spPr>
        <a:xfrm>
          <a:off x="542925" y="10106025"/>
          <a:ext cx="498814" cy="23812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333375</xdr:colOff>
      <xdr:row>53</xdr:row>
      <xdr:rowOff>9525</xdr:rowOff>
    </xdr:from>
    <xdr:to>
      <xdr:col>3</xdr:col>
      <xdr:colOff>222589</xdr:colOff>
      <xdr:row>54</xdr:row>
      <xdr:rowOff>57150</xdr:rowOff>
    </xdr:to>
    <xdr:sp macro="" textlink="">
      <xdr:nvSpPr>
        <xdr:cNvPr id="17" name="Rectangle 16">
          <a:extLst>
            <a:ext uri="{FF2B5EF4-FFF2-40B4-BE49-F238E27FC236}">
              <a16:creationId xmlns:a16="http://schemas.microsoft.com/office/drawing/2014/main" id="{DAFBC8DE-CC10-47E3-990D-B00B7EDF2C7E}"/>
            </a:ext>
          </a:extLst>
        </xdr:cNvPr>
        <xdr:cNvSpPr/>
      </xdr:nvSpPr>
      <xdr:spPr>
        <a:xfrm>
          <a:off x="1552575" y="10106025"/>
          <a:ext cx="498814" cy="23812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352425</xdr:colOff>
      <xdr:row>53</xdr:row>
      <xdr:rowOff>0</xdr:rowOff>
    </xdr:from>
    <xdr:to>
      <xdr:col>8</xdr:col>
      <xdr:colOff>241639</xdr:colOff>
      <xdr:row>54</xdr:row>
      <xdr:rowOff>47625</xdr:rowOff>
    </xdr:to>
    <xdr:sp macro="" textlink="">
      <xdr:nvSpPr>
        <xdr:cNvPr id="18" name="Rectangle 17">
          <a:extLst>
            <a:ext uri="{FF2B5EF4-FFF2-40B4-BE49-F238E27FC236}">
              <a16:creationId xmlns:a16="http://schemas.microsoft.com/office/drawing/2014/main" id="{E6057EE1-6FA7-4A75-B1CF-DA7AF79C45FF}"/>
            </a:ext>
          </a:extLst>
        </xdr:cNvPr>
        <xdr:cNvSpPr/>
      </xdr:nvSpPr>
      <xdr:spPr>
        <a:xfrm>
          <a:off x="4619625" y="10096500"/>
          <a:ext cx="498814" cy="23812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542925</xdr:colOff>
      <xdr:row>72</xdr:row>
      <xdr:rowOff>38100</xdr:rowOff>
    </xdr:from>
    <xdr:to>
      <xdr:col>1</xdr:col>
      <xdr:colOff>432139</xdr:colOff>
      <xdr:row>73</xdr:row>
      <xdr:rowOff>85725</xdr:rowOff>
    </xdr:to>
    <xdr:sp macro="" textlink="">
      <xdr:nvSpPr>
        <xdr:cNvPr id="19" name="Rectangle 18">
          <a:extLst>
            <a:ext uri="{FF2B5EF4-FFF2-40B4-BE49-F238E27FC236}">
              <a16:creationId xmlns:a16="http://schemas.microsoft.com/office/drawing/2014/main" id="{895710B8-D641-4D94-BEEC-D78F83D38D88}"/>
            </a:ext>
          </a:extLst>
        </xdr:cNvPr>
        <xdr:cNvSpPr/>
      </xdr:nvSpPr>
      <xdr:spPr>
        <a:xfrm>
          <a:off x="542925" y="13754100"/>
          <a:ext cx="498814"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333375</xdr:colOff>
      <xdr:row>72</xdr:row>
      <xdr:rowOff>38100</xdr:rowOff>
    </xdr:from>
    <xdr:to>
      <xdr:col>3</xdr:col>
      <xdr:colOff>222589</xdr:colOff>
      <xdr:row>73</xdr:row>
      <xdr:rowOff>85725</xdr:rowOff>
    </xdr:to>
    <xdr:sp macro="" textlink="">
      <xdr:nvSpPr>
        <xdr:cNvPr id="20" name="Rectangle 19">
          <a:extLst>
            <a:ext uri="{FF2B5EF4-FFF2-40B4-BE49-F238E27FC236}">
              <a16:creationId xmlns:a16="http://schemas.microsoft.com/office/drawing/2014/main" id="{665947B0-013B-4693-BF87-F5915EE4CD2E}"/>
            </a:ext>
          </a:extLst>
        </xdr:cNvPr>
        <xdr:cNvSpPr/>
      </xdr:nvSpPr>
      <xdr:spPr>
        <a:xfrm>
          <a:off x="1552575" y="13754100"/>
          <a:ext cx="498814"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352425</xdr:colOff>
      <xdr:row>72</xdr:row>
      <xdr:rowOff>28575</xdr:rowOff>
    </xdr:from>
    <xdr:to>
      <xdr:col>8</xdr:col>
      <xdr:colOff>241639</xdr:colOff>
      <xdr:row>73</xdr:row>
      <xdr:rowOff>76200</xdr:rowOff>
    </xdr:to>
    <xdr:sp macro="" textlink="">
      <xdr:nvSpPr>
        <xdr:cNvPr id="21" name="Rectangle 20">
          <a:extLst>
            <a:ext uri="{FF2B5EF4-FFF2-40B4-BE49-F238E27FC236}">
              <a16:creationId xmlns:a16="http://schemas.microsoft.com/office/drawing/2014/main" id="{E197198C-C8BC-40D4-9FC9-DE32B2D3755E}"/>
            </a:ext>
          </a:extLst>
        </xdr:cNvPr>
        <xdr:cNvSpPr/>
      </xdr:nvSpPr>
      <xdr:spPr>
        <a:xfrm>
          <a:off x="4619625" y="13744575"/>
          <a:ext cx="498814"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457200</xdr:colOff>
      <xdr:row>40</xdr:row>
      <xdr:rowOff>180975</xdr:rowOff>
    </xdr:from>
    <xdr:to>
      <xdr:col>1</xdr:col>
      <xdr:colOff>457200</xdr:colOff>
      <xdr:row>42</xdr:row>
      <xdr:rowOff>38100</xdr:rowOff>
    </xdr:to>
    <xdr:sp macro="" textlink="">
      <xdr:nvSpPr>
        <xdr:cNvPr id="22" name="Rectangle 21">
          <a:extLst>
            <a:ext uri="{FF2B5EF4-FFF2-40B4-BE49-F238E27FC236}">
              <a16:creationId xmlns:a16="http://schemas.microsoft.com/office/drawing/2014/main" id="{3FA14395-9180-4AB1-8EEC-05AF2595CA08}"/>
            </a:ext>
          </a:extLst>
        </xdr:cNvPr>
        <xdr:cNvSpPr/>
      </xdr:nvSpPr>
      <xdr:spPr>
        <a:xfrm>
          <a:off x="457200" y="7800975"/>
          <a:ext cx="609600" cy="238125"/>
        </a:xfrm>
        <a:prstGeom prst="rect">
          <a:avLst/>
        </a:prstGeom>
        <a:noFill/>
        <a:ln w="254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348174</xdr:colOff>
      <xdr:row>41</xdr:row>
      <xdr:rowOff>0</xdr:rowOff>
    </xdr:from>
    <xdr:to>
      <xdr:col>3</xdr:col>
      <xdr:colOff>242376</xdr:colOff>
      <xdr:row>42</xdr:row>
      <xdr:rowOff>47625</xdr:rowOff>
    </xdr:to>
    <xdr:sp macro="" textlink="">
      <xdr:nvSpPr>
        <xdr:cNvPr id="23" name="Rectangle 22">
          <a:extLst>
            <a:ext uri="{FF2B5EF4-FFF2-40B4-BE49-F238E27FC236}">
              <a16:creationId xmlns:a16="http://schemas.microsoft.com/office/drawing/2014/main" id="{A7BB9E31-2609-48E0-90FC-FB6D73FF89E9}"/>
            </a:ext>
          </a:extLst>
        </xdr:cNvPr>
        <xdr:cNvSpPr/>
      </xdr:nvSpPr>
      <xdr:spPr>
        <a:xfrm>
          <a:off x="1567374" y="7810500"/>
          <a:ext cx="503802" cy="238125"/>
        </a:xfrm>
        <a:prstGeom prst="rect">
          <a:avLst/>
        </a:prstGeom>
        <a:noFill/>
        <a:ln w="254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65809</xdr:colOff>
      <xdr:row>41</xdr:row>
      <xdr:rowOff>9525</xdr:rowOff>
    </xdr:from>
    <xdr:to>
      <xdr:col>6</xdr:col>
      <xdr:colOff>10391</xdr:colOff>
      <xdr:row>42</xdr:row>
      <xdr:rowOff>57150</xdr:rowOff>
    </xdr:to>
    <xdr:sp macro="" textlink="">
      <xdr:nvSpPr>
        <xdr:cNvPr id="24" name="Rectangle 23">
          <a:extLst>
            <a:ext uri="{FF2B5EF4-FFF2-40B4-BE49-F238E27FC236}">
              <a16:creationId xmlns:a16="http://schemas.microsoft.com/office/drawing/2014/main" id="{1B228234-8B64-4895-8614-DD51AFBE030A}"/>
            </a:ext>
          </a:extLst>
        </xdr:cNvPr>
        <xdr:cNvSpPr/>
      </xdr:nvSpPr>
      <xdr:spPr>
        <a:xfrm>
          <a:off x="3113809" y="7820025"/>
          <a:ext cx="554182" cy="238125"/>
        </a:xfrm>
        <a:prstGeom prst="rect">
          <a:avLst/>
        </a:prstGeom>
        <a:noFill/>
        <a:ln w="254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523875</xdr:colOff>
      <xdr:row>70</xdr:row>
      <xdr:rowOff>9525</xdr:rowOff>
    </xdr:from>
    <xdr:to>
      <xdr:col>1</xdr:col>
      <xdr:colOff>413089</xdr:colOff>
      <xdr:row>71</xdr:row>
      <xdr:rowOff>57150</xdr:rowOff>
    </xdr:to>
    <xdr:sp macro="" textlink="">
      <xdr:nvSpPr>
        <xdr:cNvPr id="25" name="Rectangle 24">
          <a:extLst>
            <a:ext uri="{FF2B5EF4-FFF2-40B4-BE49-F238E27FC236}">
              <a16:creationId xmlns:a16="http://schemas.microsoft.com/office/drawing/2014/main" id="{927AD37C-87E8-4EA6-8B83-A2F4640C4931}"/>
            </a:ext>
          </a:extLst>
        </xdr:cNvPr>
        <xdr:cNvSpPr/>
      </xdr:nvSpPr>
      <xdr:spPr>
        <a:xfrm>
          <a:off x="523875" y="13344525"/>
          <a:ext cx="498814"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314325</xdr:colOff>
      <xdr:row>70</xdr:row>
      <xdr:rowOff>9525</xdr:rowOff>
    </xdr:from>
    <xdr:to>
      <xdr:col>3</xdr:col>
      <xdr:colOff>203539</xdr:colOff>
      <xdr:row>71</xdr:row>
      <xdr:rowOff>57150</xdr:rowOff>
    </xdr:to>
    <xdr:sp macro="" textlink="">
      <xdr:nvSpPr>
        <xdr:cNvPr id="26" name="Rectangle 25">
          <a:extLst>
            <a:ext uri="{FF2B5EF4-FFF2-40B4-BE49-F238E27FC236}">
              <a16:creationId xmlns:a16="http://schemas.microsoft.com/office/drawing/2014/main" id="{29E7FA59-763A-4E55-AAF5-9A147D5DD67C}"/>
            </a:ext>
          </a:extLst>
        </xdr:cNvPr>
        <xdr:cNvSpPr/>
      </xdr:nvSpPr>
      <xdr:spPr>
        <a:xfrm>
          <a:off x="1533525" y="13344525"/>
          <a:ext cx="498814"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333375</xdr:colOff>
      <xdr:row>70</xdr:row>
      <xdr:rowOff>0</xdr:rowOff>
    </xdr:from>
    <xdr:to>
      <xdr:col>8</xdr:col>
      <xdr:colOff>222589</xdr:colOff>
      <xdr:row>71</xdr:row>
      <xdr:rowOff>47625</xdr:rowOff>
    </xdr:to>
    <xdr:sp macro="" textlink="">
      <xdr:nvSpPr>
        <xdr:cNvPr id="27" name="Rectangle 26">
          <a:extLst>
            <a:ext uri="{FF2B5EF4-FFF2-40B4-BE49-F238E27FC236}">
              <a16:creationId xmlns:a16="http://schemas.microsoft.com/office/drawing/2014/main" id="{4BD41DC8-A971-42C9-A30F-893F86E01DC8}"/>
            </a:ext>
          </a:extLst>
        </xdr:cNvPr>
        <xdr:cNvSpPr/>
      </xdr:nvSpPr>
      <xdr:spPr>
        <a:xfrm>
          <a:off x="4600575" y="13335000"/>
          <a:ext cx="498814"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25</xdr:col>
      <xdr:colOff>95250</xdr:colOff>
      <xdr:row>23</xdr:row>
      <xdr:rowOff>66675</xdr:rowOff>
    </xdr:from>
    <xdr:to>
      <xdr:col>37</xdr:col>
      <xdr:colOff>185041</xdr:colOff>
      <xdr:row>38</xdr:row>
      <xdr:rowOff>89175</xdr:rowOff>
    </xdr:to>
    <xdr:pic>
      <xdr:nvPicPr>
        <xdr:cNvPr id="28" name="Picture 27">
          <a:extLst>
            <a:ext uri="{FF2B5EF4-FFF2-40B4-BE49-F238E27FC236}">
              <a16:creationId xmlns:a16="http://schemas.microsoft.com/office/drawing/2014/main" id="{461E6DB6-E0CD-40A8-81E3-6694409540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35250" y="4448175"/>
          <a:ext cx="7404991" cy="2880000"/>
        </a:xfrm>
        <a:prstGeom prst="rect">
          <a:avLst/>
        </a:prstGeom>
        <a:noFill/>
        <a:ln w="25400">
          <a:solidFill>
            <a:srgbClr val="00B0F0"/>
          </a:solidFill>
        </a:ln>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351559</xdr:colOff>
      <xdr:row>35</xdr:row>
      <xdr:rowOff>85725</xdr:rowOff>
    </xdr:from>
    <xdr:to>
      <xdr:col>27</xdr:col>
      <xdr:colOff>296141</xdr:colOff>
      <xdr:row>36</xdr:row>
      <xdr:rowOff>133350</xdr:rowOff>
    </xdr:to>
    <xdr:sp macro="" textlink="">
      <xdr:nvSpPr>
        <xdr:cNvPr id="29" name="Rectangle 28">
          <a:extLst>
            <a:ext uri="{FF2B5EF4-FFF2-40B4-BE49-F238E27FC236}">
              <a16:creationId xmlns:a16="http://schemas.microsoft.com/office/drawing/2014/main" id="{69D5BDB0-AD9E-46D3-BA85-1165E47F39AC}"/>
            </a:ext>
          </a:extLst>
        </xdr:cNvPr>
        <xdr:cNvSpPr/>
      </xdr:nvSpPr>
      <xdr:spPr>
        <a:xfrm>
          <a:off x="16201159" y="6753225"/>
          <a:ext cx="554182" cy="23812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27</xdr:col>
      <xdr:colOff>256309</xdr:colOff>
      <xdr:row>35</xdr:row>
      <xdr:rowOff>85725</xdr:rowOff>
    </xdr:from>
    <xdr:to>
      <xdr:col>28</xdr:col>
      <xdr:colOff>200891</xdr:colOff>
      <xdr:row>36</xdr:row>
      <xdr:rowOff>133350</xdr:rowOff>
    </xdr:to>
    <xdr:sp macro="" textlink="">
      <xdr:nvSpPr>
        <xdr:cNvPr id="30" name="Rectangle 29">
          <a:extLst>
            <a:ext uri="{FF2B5EF4-FFF2-40B4-BE49-F238E27FC236}">
              <a16:creationId xmlns:a16="http://schemas.microsoft.com/office/drawing/2014/main" id="{6D6D7844-6910-4F6D-B09B-0B1AC69E61AE}"/>
            </a:ext>
          </a:extLst>
        </xdr:cNvPr>
        <xdr:cNvSpPr/>
      </xdr:nvSpPr>
      <xdr:spPr>
        <a:xfrm>
          <a:off x="16715509" y="6753225"/>
          <a:ext cx="554182" cy="23812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46759</xdr:colOff>
      <xdr:row>35</xdr:row>
      <xdr:rowOff>85725</xdr:rowOff>
    </xdr:from>
    <xdr:to>
      <xdr:col>30</xdr:col>
      <xdr:colOff>600941</xdr:colOff>
      <xdr:row>36</xdr:row>
      <xdr:rowOff>133350</xdr:rowOff>
    </xdr:to>
    <xdr:sp macro="" textlink="">
      <xdr:nvSpPr>
        <xdr:cNvPr id="31" name="Rectangle 30">
          <a:extLst>
            <a:ext uri="{FF2B5EF4-FFF2-40B4-BE49-F238E27FC236}">
              <a16:creationId xmlns:a16="http://schemas.microsoft.com/office/drawing/2014/main" id="{3D543E38-9E34-4570-B65A-19D8FB1C13CA}"/>
            </a:ext>
          </a:extLst>
        </xdr:cNvPr>
        <xdr:cNvSpPr/>
      </xdr:nvSpPr>
      <xdr:spPr>
        <a:xfrm>
          <a:off x="18334759" y="6753225"/>
          <a:ext cx="554182" cy="238125"/>
        </a:xfrm>
        <a:prstGeom prst="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25</xdr:col>
      <xdr:colOff>57150</xdr:colOff>
      <xdr:row>40</xdr:row>
      <xdr:rowOff>57150</xdr:rowOff>
    </xdr:from>
    <xdr:to>
      <xdr:col>36</xdr:col>
      <xdr:colOff>551550</xdr:colOff>
      <xdr:row>60</xdr:row>
      <xdr:rowOff>162854</xdr:rowOff>
    </xdr:to>
    <xdr:pic>
      <xdr:nvPicPr>
        <xdr:cNvPr id="32" name="Picture 31">
          <a:extLst>
            <a:ext uri="{FF2B5EF4-FFF2-40B4-BE49-F238E27FC236}">
              <a16:creationId xmlns:a16="http://schemas.microsoft.com/office/drawing/2014/main" id="{97F0B19C-276B-4B57-918E-1C11512F188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325725" y="7677150"/>
          <a:ext cx="7200000" cy="3915704"/>
        </a:xfrm>
        <a:prstGeom prst="rect">
          <a:avLst/>
        </a:prstGeom>
        <a:noFill/>
        <a:ln w="25400">
          <a:solidFill>
            <a:srgbClr val="FFC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168065</xdr:colOff>
      <xdr:row>48</xdr:row>
      <xdr:rowOff>123825</xdr:rowOff>
    </xdr:from>
    <xdr:to>
      <xdr:col>28</xdr:col>
      <xdr:colOff>62267</xdr:colOff>
      <xdr:row>49</xdr:row>
      <xdr:rowOff>171450</xdr:rowOff>
    </xdr:to>
    <xdr:sp macro="" textlink="">
      <xdr:nvSpPr>
        <xdr:cNvPr id="33" name="Rectangle 32">
          <a:extLst>
            <a:ext uri="{FF2B5EF4-FFF2-40B4-BE49-F238E27FC236}">
              <a16:creationId xmlns:a16="http://schemas.microsoft.com/office/drawing/2014/main" id="{2EB1DCA7-DBC2-4C93-8604-587EF407E1B3}"/>
            </a:ext>
          </a:extLst>
        </xdr:cNvPr>
        <xdr:cNvSpPr/>
      </xdr:nvSpPr>
      <xdr:spPr>
        <a:xfrm>
          <a:off x="16655840" y="9267825"/>
          <a:ext cx="503802" cy="238125"/>
        </a:xfrm>
        <a:prstGeom prst="rect">
          <a:avLst/>
        </a:prstGeom>
        <a:noFill/>
        <a:ln w="254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257175</xdr:colOff>
      <xdr:row>48</xdr:row>
      <xdr:rowOff>133350</xdr:rowOff>
    </xdr:from>
    <xdr:to>
      <xdr:col>27</xdr:col>
      <xdr:colOff>201757</xdr:colOff>
      <xdr:row>49</xdr:row>
      <xdr:rowOff>180975</xdr:rowOff>
    </xdr:to>
    <xdr:sp macro="" textlink="">
      <xdr:nvSpPr>
        <xdr:cNvPr id="34" name="Rectangle 33">
          <a:extLst>
            <a:ext uri="{FF2B5EF4-FFF2-40B4-BE49-F238E27FC236}">
              <a16:creationId xmlns:a16="http://schemas.microsoft.com/office/drawing/2014/main" id="{C0686F7B-439E-460B-984C-6267FB2230BA}"/>
            </a:ext>
          </a:extLst>
        </xdr:cNvPr>
        <xdr:cNvSpPr/>
      </xdr:nvSpPr>
      <xdr:spPr>
        <a:xfrm>
          <a:off x="16135350" y="9277350"/>
          <a:ext cx="554182" cy="238125"/>
        </a:xfrm>
        <a:prstGeom prst="rect">
          <a:avLst/>
        </a:prstGeom>
        <a:noFill/>
        <a:ln w="254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29</xdr:col>
      <xdr:colOff>539540</xdr:colOff>
      <xdr:row>48</xdr:row>
      <xdr:rowOff>114300</xdr:rowOff>
    </xdr:from>
    <xdr:to>
      <xdr:col>30</xdr:col>
      <xdr:colOff>433742</xdr:colOff>
      <xdr:row>49</xdr:row>
      <xdr:rowOff>161925</xdr:rowOff>
    </xdr:to>
    <xdr:sp macro="" textlink="">
      <xdr:nvSpPr>
        <xdr:cNvPr id="35" name="Rectangle 34">
          <a:extLst>
            <a:ext uri="{FF2B5EF4-FFF2-40B4-BE49-F238E27FC236}">
              <a16:creationId xmlns:a16="http://schemas.microsoft.com/office/drawing/2014/main" id="{495C8938-9643-4E96-B5DC-8AE2E2576772}"/>
            </a:ext>
          </a:extLst>
        </xdr:cNvPr>
        <xdr:cNvSpPr/>
      </xdr:nvSpPr>
      <xdr:spPr>
        <a:xfrm>
          <a:off x="18246515" y="9258300"/>
          <a:ext cx="503802" cy="238125"/>
        </a:xfrm>
        <a:prstGeom prst="rect">
          <a:avLst/>
        </a:prstGeom>
        <a:noFill/>
        <a:ln w="254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133350</xdr:colOff>
      <xdr:row>41</xdr:row>
      <xdr:rowOff>57150</xdr:rowOff>
    </xdr:from>
    <xdr:to>
      <xdr:col>24</xdr:col>
      <xdr:colOff>599175</xdr:colOff>
      <xdr:row>56</xdr:row>
      <xdr:rowOff>44216</xdr:rowOff>
    </xdr:to>
    <xdr:pic>
      <xdr:nvPicPr>
        <xdr:cNvPr id="36" name="Picture 35">
          <a:extLst>
            <a:ext uri="{FF2B5EF4-FFF2-40B4-BE49-F238E27FC236}">
              <a16:creationId xmlns:a16="http://schemas.microsoft.com/office/drawing/2014/main" id="{12FA3FA4-6FF2-49A9-9834-7DCDE83E105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058150" y="7867650"/>
          <a:ext cx="7200000" cy="2844566"/>
        </a:xfrm>
        <a:prstGeom prst="rect">
          <a:avLst/>
        </a:prstGeom>
        <a:noFill/>
        <a:ln w="25400">
          <a:solidFill>
            <a:srgbClr val="92D050"/>
          </a:solidFill>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342900</xdr:colOff>
      <xdr:row>49</xdr:row>
      <xdr:rowOff>123825</xdr:rowOff>
    </xdr:from>
    <xdr:to>
      <xdr:col>15</xdr:col>
      <xdr:colOff>287482</xdr:colOff>
      <xdr:row>50</xdr:row>
      <xdr:rowOff>171450</xdr:rowOff>
    </xdr:to>
    <xdr:sp macro="" textlink="">
      <xdr:nvSpPr>
        <xdr:cNvPr id="37" name="Rectangle 36">
          <a:extLst>
            <a:ext uri="{FF2B5EF4-FFF2-40B4-BE49-F238E27FC236}">
              <a16:creationId xmlns:a16="http://schemas.microsoft.com/office/drawing/2014/main" id="{D9572BCD-FEF9-44D9-A4E3-CCD1FA6A8270}"/>
            </a:ext>
          </a:extLst>
        </xdr:cNvPr>
        <xdr:cNvSpPr/>
      </xdr:nvSpPr>
      <xdr:spPr>
        <a:xfrm>
          <a:off x="8877300" y="9458325"/>
          <a:ext cx="554182"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295740</xdr:colOff>
      <xdr:row>49</xdr:row>
      <xdr:rowOff>123825</xdr:rowOff>
    </xdr:from>
    <xdr:to>
      <xdr:col>16</xdr:col>
      <xdr:colOff>144142</xdr:colOff>
      <xdr:row>50</xdr:row>
      <xdr:rowOff>171450</xdr:rowOff>
    </xdr:to>
    <xdr:sp macro="" textlink="">
      <xdr:nvSpPr>
        <xdr:cNvPr id="38" name="Rectangle 37">
          <a:extLst>
            <a:ext uri="{FF2B5EF4-FFF2-40B4-BE49-F238E27FC236}">
              <a16:creationId xmlns:a16="http://schemas.microsoft.com/office/drawing/2014/main" id="{34B03EB4-913F-4261-8788-F86CE9DE7D12}"/>
            </a:ext>
          </a:extLst>
        </xdr:cNvPr>
        <xdr:cNvSpPr/>
      </xdr:nvSpPr>
      <xdr:spPr>
        <a:xfrm>
          <a:off x="9439740" y="9458325"/>
          <a:ext cx="458002"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18</xdr:col>
      <xdr:colOff>6140</xdr:colOff>
      <xdr:row>49</xdr:row>
      <xdr:rowOff>123825</xdr:rowOff>
    </xdr:from>
    <xdr:to>
      <xdr:col>18</xdr:col>
      <xdr:colOff>509942</xdr:colOff>
      <xdr:row>50</xdr:row>
      <xdr:rowOff>171450</xdr:rowOff>
    </xdr:to>
    <xdr:sp macro="" textlink="">
      <xdr:nvSpPr>
        <xdr:cNvPr id="39" name="Rectangle 38">
          <a:extLst>
            <a:ext uri="{FF2B5EF4-FFF2-40B4-BE49-F238E27FC236}">
              <a16:creationId xmlns:a16="http://schemas.microsoft.com/office/drawing/2014/main" id="{9A13DB22-20A5-4F7A-AE8B-6AFADA1F9545}"/>
            </a:ext>
          </a:extLst>
        </xdr:cNvPr>
        <xdr:cNvSpPr/>
      </xdr:nvSpPr>
      <xdr:spPr>
        <a:xfrm>
          <a:off x="10978940" y="9458325"/>
          <a:ext cx="503802" cy="238125"/>
        </a:xfrm>
        <a:prstGeom prst="rect">
          <a:avLst/>
        </a:prstGeom>
        <a:noFill/>
        <a:ln w="254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533400</xdr:colOff>
      <xdr:row>2</xdr:row>
      <xdr:rowOff>76200</xdr:rowOff>
    </xdr:from>
    <xdr:to>
      <xdr:col>18</xdr:col>
      <xdr:colOff>219075</xdr:colOff>
      <xdr:row>42</xdr:row>
      <xdr:rowOff>85725</xdr:rowOff>
    </xdr:to>
    <xdr:pic>
      <xdr:nvPicPr>
        <xdr:cNvPr id="2" name="Picture 1">
          <a:extLst>
            <a:ext uri="{FF2B5EF4-FFF2-40B4-BE49-F238E27FC236}">
              <a16:creationId xmlns:a16="http://schemas.microsoft.com/office/drawing/2014/main" id="{4E5DB61B-3DCB-4A45-9208-01A200AF3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00" y="457200"/>
          <a:ext cx="5172075" cy="762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276225</xdr:colOff>
      <xdr:row>2</xdr:row>
      <xdr:rowOff>66675</xdr:rowOff>
    </xdr:from>
    <xdr:to>
      <xdr:col>27</xdr:col>
      <xdr:colOff>0</xdr:colOff>
      <xdr:row>43</xdr:row>
      <xdr:rowOff>9525</xdr:rowOff>
    </xdr:to>
    <xdr:pic>
      <xdr:nvPicPr>
        <xdr:cNvPr id="3" name="Picture 2">
          <a:extLst>
            <a:ext uri="{FF2B5EF4-FFF2-40B4-BE49-F238E27FC236}">
              <a16:creationId xmlns:a16="http://schemas.microsoft.com/office/drawing/2014/main" id="{6ABF0EA6-A514-47FB-A908-92C32F89D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49025" y="447675"/>
          <a:ext cx="5210175" cy="775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47625</xdr:colOff>
      <xdr:row>2</xdr:row>
      <xdr:rowOff>0</xdr:rowOff>
    </xdr:from>
    <xdr:to>
      <xdr:col>35</xdr:col>
      <xdr:colOff>419100</xdr:colOff>
      <xdr:row>35</xdr:row>
      <xdr:rowOff>0</xdr:rowOff>
    </xdr:to>
    <xdr:pic>
      <xdr:nvPicPr>
        <xdr:cNvPr id="4" name="Picture 3">
          <a:extLst>
            <a:ext uri="{FF2B5EF4-FFF2-40B4-BE49-F238E27FC236}">
              <a16:creationId xmlns:a16="http://schemas.microsoft.com/office/drawing/2014/main" id="{409A6AE0-A848-4D60-9727-386394EEF8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506825" y="381000"/>
          <a:ext cx="5248275" cy="628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2</xdr:row>
      <xdr:rowOff>123825</xdr:rowOff>
    </xdr:from>
    <xdr:to>
      <xdr:col>9</xdr:col>
      <xdr:colOff>457200</xdr:colOff>
      <xdr:row>45</xdr:row>
      <xdr:rowOff>9525</xdr:rowOff>
    </xdr:to>
    <xdr:pic>
      <xdr:nvPicPr>
        <xdr:cNvPr id="5" name="Picture 4">
          <a:extLst>
            <a:ext uri="{FF2B5EF4-FFF2-40B4-BE49-F238E27FC236}">
              <a16:creationId xmlns:a16="http://schemas.microsoft.com/office/drawing/2014/main" id="{4DECBCDA-9AE3-4DD1-BDE4-FBC7772390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2425" y="504825"/>
          <a:ext cx="5591175" cy="807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ebbook.nist.gov/cgi/cbook.cgi?ID=C7664417&amp;Mask=4"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ebbook.nist.gov/cgi/fluid.cgi?Action=Load&amp;ID=C7664417&amp;Type=SatP&amp;Digits=5&amp;THigh=237.73&amp;TLow=237.57&amp;TInc=0.01&amp;RefState=DEF&amp;TUnit=K&amp;PUnit=MPa&amp;DUnit=kg%2Fm3&amp;HUnit=kJ%2Fkg&amp;WUnit=m%2Fs&amp;VisUnit=uPa*s&amp;STUnit=N%2F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11958-DBA0-44E9-81F1-85573F2FA36C}">
  <dimension ref="B2:J29"/>
  <sheetViews>
    <sheetView tabSelected="1" workbookViewId="0"/>
  </sheetViews>
  <sheetFormatPr defaultRowHeight="15" x14ac:dyDescent="0.25"/>
  <cols>
    <col min="3" max="3" width="13.5703125" customWidth="1"/>
    <col min="4" max="4" width="10.85546875" customWidth="1"/>
    <col min="5" max="5" width="11.140625" customWidth="1"/>
    <col min="6" max="6" width="15.85546875" customWidth="1"/>
    <col min="7" max="7" width="16.28515625" customWidth="1"/>
  </cols>
  <sheetData>
    <row r="2" spans="2:10" x14ac:dyDescent="0.25">
      <c r="B2" t="s">
        <v>195</v>
      </c>
    </row>
    <row r="12" spans="2:10" ht="15.75" thickBot="1" x14ac:dyDescent="0.3">
      <c r="B12" s="10" t="s">
        <v>183</v>
      </c>
    </row>
    <row r="13" spans="2:10" x14ac:dyDescent="0.25">
      <c r="B13" s="47" t="s">
        <v>194</v>
      </c>
      <c r="C13" s="48" t="s">
        <v>184</v>
      </c>
      <c r="D13" s="48" t="s">
        <v>186</v>
      </c>
      <c r="E13" s="48" t="s">
        <v>188</v>
      </c>
      <c r="F13" s="48" t="s">
        <v>32</v>
      </c>
      <c r="G13" s="49" t="s">
        <v>190</v>
      </c>
      <c r="I13" s="80" t="s">
        <v>196</v>
      </c>
    </row>
    <row r="14" spans="2:10" ht="15.75" thickBot="1" x14ac:dyDescent="0.3">
      <c r="B14" s="50"/>
      <c r="C14" s="51" t="s">
        <v>185</v>
      </c>
      <c r="D14" s="51" t="s">
        <v>187</v>
      </c>
      <c r="E14" s="51" t="s">
        <v>189</v>
      </c>
      <c r="F14" s="51" t="s">
        <v>33</v>
      </c>
      <c r="G14" s="52" t="s">
        <v>191</v>
      </c>
      <c r="I14" s="4"/>
      <c r="J14" s="79" t="s">
        <v>197</v>
      </c>
    </row>
    <row r="15" spans="2:10" x14ac:dyDescent="0.25">
      <c r="B15" s="59" t="s">
        <v>6</v>
      </c>
      <c r="C15" s="81">
        <v>51</v>
      </c>
      <c r="D15" s="81">
        <v>7.5</v>
      </c>
      <c r="E15" s="60">
        <v>13</v>
      </c>
      <c r="F15" s="60">
        <v>205</v>
      </c>
      <c r="G15" s="61">
        <v>6.4</v>
      </c>
      <c r="I15" s="2"/>
      <c r="J15" t="s">
        <v>198</v>
      </c>
    </row>
    <row r="16" spans="2:10" ht="15.75" thickBot="1" x14ac:dyDescent="0.3">
      <c r="B16" s="62" t="s">
        <v>7</v>
      </c>
      <c r="C16" s="65">
        <v>48.3</v>
      </c>
      <c r="D16" s="65">
        <v>6</v>
      </c>
      <c r="E16" s="63">
        <v>13</v>
      </c>
      <c r="F16" s="63">
        <v>205</v>
      </c>
      <c r="G16" s="64">
        <v>8.4</v>
      </c>
    </row>
    <row r="17" spans="2:7" x14ac:dyDescent="0.25">
      <c r="C17" s="6"/>
      <c r="D17" s="6"/>
      <c r="E17" s="6"/>
      <c r="F17" s="6"/>
      <c r="G17" s="6"/>
    </row>
    <row r="18" spans="2:7" ht="15.75" thickBot="1" x14ac:dyDescent="0.3">
      <c r="B18" s="10" t="s">
        <v>203</v>
      </c>
      <c r="C18" s="6"/>
      <c r="D18" s="6"/>
      <c r="E18" s="6"/>
      <c r="F18" s="6"/>
      <c r="G18" s="6"/>
    </row>
    <row r="19" spans="2:7" x14ac:dyDescent="0.25">
      <c r="B19" s="47" t="s">
        <v>194</v>
      </c>
      <c r="C19" s="48" t="s">
        <v>184</v>
      </c>
      <c r="D19" s="48" t="s">
        <v>186</v>
      </c>
      <c r="E19" s="48" t="s">
        <v>188</v>
      </c>
      <c r="F19" s="48" t="s">
        <v>32</v>
      </c>
      <c r="G19" s="49" t="s">
        <v>190</v>
      </c>
    </row>
    <row r="20" spans="2:7" ht="15.75" thickBot="1" x14ac:dyDescent="0.3">
      <c r="B20" s="50"/>
      <c r="C20" s="51" t="s">
        <v>185</v>
      </c>
      <c r="D20" s="51" t="s">
        <v>187</v>
      </c>
      <c r="E20" s="51" t="s">
        <v>189</v>
      </c>
      <c r="F20" s="51" t="s">
        <v>33</v>
      </c>
      <c r="G20" s="52" t="s">
        <v>191</v>
      </c>
    </row>
    <row r="21" spans="2:7" x14ac:dyDescent="0.25">
      <c r="B21" s="69" t="s">
        <v>6</v>
      </c>
      <c r="C21" s="70">
        <f>'HSE-Tickle Calc'!I92</f>
        <v>46.723276082161959</v>
      </c>
      <c r="D21" s="71">
        <f>'HSE-Tickle Calc'!I72</f>
        <v>7.2729167648342754</v>
      </c>
      <c r="E21" s="70">
        <f>'HSE-Tickle Calc'!I63*100</f>
        <v>13.773433780652658</v>
      </c>
      <c r="F21" s="72">
        <f>'HSE-Tickle Calc'!I61</f>
        <v>204.67180282622121</v>
      </c>
      <c r="G21" s="73">
        <f>'HSE-Tickle Calc'!I76</f>
        <v>6.6251078263061283</v>
      </c>
    </row>
    <row r="22" spans="2:7" x14ac:dyDescent="0.25">
      <c r="B22" s="74" t="s">
        <v>7</v>
      </c>
      <c r="C22" s="75">
        <f>'HSE-Tickle Calc'!J92</f>
        <v>54.829859029873958</v>
      </c>
      <c r="D22" s="76">
        <f>'HSE-Tickle Calc'!J72</f>
        <v>7.6996532500346673</v>
      </c>
      <c r="E22" s="75">
        <f>'HSE-Tickle Calc'!J63*100</f>
        <v>13.873278688868243</v>
      </c>
      <c r="F22" s="77">
        <f>'HSE-Tickle Calc'!J61</f>
        <v>204.78138567583423</v>
      </c>
      <c r="G22" s="78">
        <f>'HSE-Tickle Calc'!J76</f>
        <v>7.7565509108040143</v>
      </c>
    </row>
    <row r="23" spans="2:7" ht="15.75" thickBot="1" x14ac:dyDescent="0.3">
      <c r="B23" s="62" t="s">
        <v>8</v>
      </c>
      <c r="C23" s="65">
        <f>'HSE-Tickle Calc'!K92</f>
        <v>49.469664743956429</v>
      </c>
      <c r="D23" s="66">
        <f>'HSE-Tickle Calc'!K72</f>
        <v>8.5877080387676852</v>
      </c>
      <c r="E23" s="65">
        <f>'HSE-Tickle Calc'!K63*100</f>
        <v>14.285245024814683</v>
      </c>
      <c r="F23" s="67">
        <f>'HSE-Tickle Calc'!K61</f>
        <v>205.06591529140212</v>
      </c>
      <c r="G23" s="68">
        <f>'HSE-Tickle Calc'!K76</f>
        <v>6.985678163460217</v>
      </c>
    </row>
    <row r="25" spans="2:7" ht="15.75" thickBot="1" x14ac:dyDescent="0.3">
      <c r="B25" s="10" t="s">
        <v>204</v>
      </c>
    </row>
    <row r="26" spans="2:7" x14ac:dyDescent="0.25">
      <c r="B26" s="47" t="s">
        <v>194</v>
      </c>
      <c r="C26" s="48" t="s">
        <v>184</v>
      </c>
      <c r="D26" s="48" t="s">
        <v>186</v>
      </c>
      <c r="E26" s="48" t="s">
        <v>188</v>
      </c>
      <c r="F26" s="48" t="s">
        <v>32</v>
      </c>
      <c r="G26" s="49" t="s">
        <v>190</v>
      </c>
    </row>
    <row r="27" spans="2:7" ht="15.75" thickBot="1" x14ac:dyDescent="0.3">
      <c r="B27" s="50"/>
      <c r="C27" s="51" t="s">
        <v>185</v>
      </c>
      <c r="D27" s="51" t="s">
        <v>187</v>
      </c>
      <c r="E27" s="51" t="s">
        <v>189</v>
      </c>
      <c r="F27" s="51" t="s">
        <v>33</v>
      </c>
      <c r="G27" s="52" t="s">
        <v>191</v>
      </c>
    </row>
    <row r="28" spans="2:7" x14ac:dyDescent="0.25">
      <c r="B28" s="53" t="s">
        <v>6</v>
      </c>
      <c r="C28" s="55">
        <f>(C15-C21)/(0.5*(C15+C21))</f>
        <v>8.7527231777255118E-2</v>
      </c>
      <c r="D28" s="55">
        <f t="shared" ref="D28:G28" si="0">(D15-D21)/(0.5*(D15+D21))</f>
        <v>3.0743182105551117E-2</v>
      </c>
      <c r="E28" s="55">
        <f t="shared" si="0"/>
        <v>-5.7776211074693447E-2</v>
      </c>
      <c r="F28" s="55">
        <f t="shared" si="0"/>
        <v>1.6022443893606605E-3</v>
      </c>
      <c r="G28" s="56">
        <f t="shared" si="0"/>
        <v>-3.4565215015186196E-2</v>
      </c>
    </row>
    <row r="29" spans="2:7" ht="15.75" thickBot="1" x14ac:dyDescent="0.3">
      <c r="B29" s="54" t="s">
        <v>7</v>
      </c>
      <c r="C29" s="57">
        <f t="shared" ref="C29:G29" si="1">(C16-C22)/(0.5*(C16+C22))</f>
        <v>-0.1266337235655958</v>
      </c>
      <c r="D29" s="57">
        <f t="shared" si="1"/>
        <v>-0.24813084229418234</v>
      </c>
      <c r="E29" s="57">
        <f t="shared" si="1"/>
        <v>-6.4992344177934855E-2</v>
      </c>
      <c r="F29" s="57">
        <f t="shared" si="1"/>
        <v>1.06698025731559E-3</v>
      </c>
      <c r="G29" s="58">
        <f t="shared" si="1"/>
        <v>7.9651788645769259E-2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39B7-DB91-4772-B1D3-3A23F9FC41C9}">
  <dimension ref="A1:M112"/>
  <sheetViews>
    <sheetView zoomScaleNormal="100" workbookViewId="0">
      <selection activeCell="I108" sqref="I108"/>
    </sheetView>
  </sheetViews>
  <sheetFormatPr defaultRowHeight="15" x14ac:dyDescent="0.25"/>
  <cols>
    <col min="7" max="7" width="9.140625" style="5"/>
    <col min="8" max="8" width="12.140625" style="6" customWidth="1"/>
    <col min="9" max="9" width="13.85546875" bestFit="1" customWidth="1"/>
    <col min="10" max="10" width="12.7109375" bestFit="1" customWidth="1"/>
    <col min="11" max="11" width="11.7109375" bestFit="1" customWidth="1"/>
  </cols>
  <sheetData>
    <row r="1" spans="1:1" x14ac:dyDescent="0.25">
      <c r="A1" s="10" t="s">
        <v>0</v>
      </c>
    </row>
    <row r="2" spans="1:1" x14ac:dyDescent="0.25">
      <c r="A2" s="10" t="s">
        <v>1</v>
      </c>
    </row>
    <row r="3" spans="1:1" x14ac:dyDescent="0.25">
      <c r="A3" s="10" t="s">
        <v>202</v>
      </c>
    </row>
    <row r="20" spans="1:13" x14ac:dyDescent="0.25">
      <c r="A20" t="s">
        <v>2</v>
      </c>
    </row>
    <row r="21" spans="1:13" x14ac:dyDescent="0.25">
      <c r="A21" s="1"/>
      <c r="B21" s="7" t="s">
        <v>4</v>
      </c>
    </row>
    <row r="22" spans="1:13" x14ac:dyDescent="0.25">
      <c r="A22" s="2"/>
      <c r="B22" s="7" t="s">
        <v>81</v>
      </c>
    </row>
    <row r="23" spans="1:13" x14ac:dyDescent="0.25">
      <c r="A23" s="3"/>
      <c r="B23" s="7" t="s">
        <v>109</v>
      </c>
    </row>
    <row r="24" spans="1:13" x14ac:dyDescent="0.25">
      <c r="A24" s="4"/>
      <c r="B24" s="7" t="s">
        <v>3</v>
      </c>
    </row>
    <row r="26" spans="1:13" x14ac:dyDescent="0.25">
      <c r="A26" s="8" t="s">
        <v>5</v>
      </c>
    </row>
    <row r="27" spans="1:13" x14ac:dyDescent="0.25">
      <c r="I27" s="9" t="s">
        <v>6</v>
      </c>
      <c r="J27" s="9" t="s">
        <v>7</v>
      </c>
      <c r="K27" s="9" t="s">
        <v>8</v>
      </c>
      <c r="L27" s="10" t="s">
        <v>9</v>
      </c>
      <c r="M27" s="10" t="s">
        <v>10</v>
      </c>
    </row>
    <row r="28" spans="1:13" x14ac:dyDescent="0.25">
      <c r="G28" s="5" t="s">
        <v>11</v>
      </c>
      <c r="H28" s="6" t="s">
        <v>12</v>
      </c>
      <c r="I28" s="11">
        <v>80</v>
      </c>
      <c r="J28" s="11">
        <v>117</v>
      </c>
      <c r="K28" s="11">
        <v>108</v>
      </c>
      <c r="L28" t="s">
        <v>13</v>
      </c>
      <c r="M28" t="s">
        <v>14</v>
      </c>
    </row>
    <row r="29" spans="1:13" x14ac:dyDescent="0.25">
      <c r="G29" s="5" t="s">
        <v>15</v>
      </c>
      <c r="H29" s="6" t="s">
        <v>16</v>
      </c>
      <c r="I29" s="12">
        <v>8.1000000000000003E-2</v>
      </c>
      <c r="J29" s="13">
        <v>9.4500000000000001E-2</v>
      </c>
      <c r="K29" s="13">
        <v>9.4500000000000001E-2</v>
      </c>
      <c r="L29" t="s">
        <v>17</v>
      </c>
      <c r="M29" t="s">
        <v>14</v>
      </c>
    </row>
    <row r="30" spans="1:13" x14ac:dyDescent="0.25">
      <c r="G30" s="5" t="s">
        <v>20</v>
      </c>
      <c r="H30" s="6" t="s">
        <v>21</v>
      </c>
      <c r="I30" s="14">
        <v>1010000</v>
      </c>
      <c r="J30" s="14">
        <f>1120000</f>
        <v>1120000</v>
      </c>
      <c r="K30" s="14">
        <f>1180000</f>
        <v>1180000</v>
      </c>
      <c r="L30" t="s">
        <v>19</v>
      </c>
      <c r="M30" t="s">
        <v>14</v>
      </c>
    </row>
    <row r="31" spans="1:13" x14ac:dyDescent="0.25">
      <c r="G31" s="5" t="s">
        <v>22</v>
      </c>
      <c r="H31" s="6" t="s">
        <v>23</v>
      </c>
      <c r="I31" s="1">
        <f>21.5+273.15</f>
        <v>294.64999999999998</v>
      </c>
      <c r="J31" s="1">
        <f>20.1+273.15</f>
        <v>293.25</v>
      </c>
      <c r="K31" s="1">
        <f>24.1+273.15</f>
        <v>297.25</v>
      </c>
      <c r="L31" t="s">
        <v>24</v>
      </c>
      <c r="M31" t="s">
        <v>14</v>
      </c>
    </row>
    <row r="32" spans="1:13" x14ac:dyDescent="0.25">
      <c r="G32" s="5" t="s">
        <v>18</v>
      </c>
      <c r="H32" s="6" t="s">
        <v>127</v>
      </c>
      <c r="I32" s="14">
        <v>90900</v>
      </c>
      <c r="J32" s="14">
        <v>91000</v>
      </c>
      <c r="K32" s="14">
        <v>90300</v>
      </c>
      <c r="L32" t="s">
        <v>19</v>
      </c>
      <c r="M32" t="s">
        <v>14</v>
      </c>
    </row>
    <row r="33" spans="7:13" x14ac:dyDescent="0.25">
      <c r="G33" s="5" t="s">
        <v>25</v>
      </c>
      <c r="H33" s="6" t="s">
        <v>26</v>
      </c>
      <c r="I33" s="1">
        <f>28.8+273.15</f>
        <v>301.95</v>
      </c>
      <c r="J33" s="1">
        <f>30.4+273.15</f>
        <v>303.54999999999995</v>
      </c>
      <c r="K33" s="1">
        <f>32.4+273.15</f>
        <v>305.54999999999995</v>
      </c>
      <c r="L33" t="s">
        <v>24</v>
      </c>
      <c r="M33" t="s">
        <v>14</v>
      </c>
    </row>
    <row r="35" spans="7:13" x14ac:dyDescent="0.25">
      <c r="G35" s="5" t="s">
        <v>40</v>
      </c>
      <c r="H35" s="6" t="s">
        <v>39</v>
      </c>
      <c r="I35" s="23">
        <f>Antoine!$Q$29/(Antoine!$P$29-LOG10('HSE-Tickle Calc'!I32/100000))-Antoine!$R$29</f>
        <v>237.70537631536246</v>
      </c>
      <c r="J35" s="23">
        <f>Antoine!$Q$29/(Antoine!$P$29-LOG10('HSE-Tickle Calc'!J32/100000))-Antoine!$R$29</f>
        <v>237.72858605087362</v>
      </c>
      <c r="K35" s="23">
        <f>Antoine!$Q$29/(Antoine!$P$29-LOG10('HSE-Tickle Calc'!K32/100000))-Antoine!$R$29</f>
        <v>237.56572449511526</v>
      </c>
      <c r="L35" t="s">
        <v>24</v>
      </c>
      <c r="M35" t="s">
        <v>41</v>
      </c>
    </row>
    <row r="36" spans="7:13" x14ac:dyDescent="0.25">
      <c r="G36" s="24" t="s">
        <v>103</v>
      </c>
      <c r="H36" s="6" t="s">
        <v>102</v>
      </c>
      <c r="I36" s="2">
        <f>'NIST Webbook'!U30</f>
        <v>608.28</v>
      </c>
      <c r="J36" s="2">
        <f>'NIST Webbook'!V30</f>
        <v>610.47</v>
      </c>
      <c r="K36" s="2">
        <f>'NIST Webbook'!W30</f>
        <v>604.5</v>
      </c>
      <c r="L36" t="s">
        <v>55</v>
      </c>
      <c r="M36" t="s">
        <v>80</v>
      </c>
    </row>
    <row r="37" spans="7:13" x14ac:dyDescent="0.25">
      <c r="G37" s="24" t="s">
        <v>43</v>
      </c>
      <c r="H37" s="6" t="s">
        <v>49</v>
      </c>
      <c r="I37" s="2">
        <f>'NIST Webbook'!U22</f>
        <v>684.24</v>
      </c>
      <c r="J37" s="2">
        <f>'NIST Webbook'!V22</f>
        <v>684.21</v>
      </c>
      <c r="K37" s="2">
        <f>'NIST Webbook'!W22</f>
        <v>684.41</v>
      </c>
      <c r="L37" t="s">
        <v>55</v>
      </c>
      <c r="M37" t="s">
        <v>80</v>
      </c>
    </row>
    <row r="38" spans="7:13" x14ac:dyDescent="0.25">
      <c r="G38" s="24" t="s">
        <v>44</v>
      </c>
      <c r="H38" s="6" t="s">
        <v>50</v>
      </c>
      <c r="I38" s="2">
        <f>'NIST Webbook'!U24</f>
        <v>0.80466000000000004</v>
      </c>
      <c r="J38" s="2">
        <f>'NIST Webbook'!V24</f>
        <v>0.80542999999999998</v>
      </c>
      <c r="K38" s="2">
        <f>'NIST Webbook'!W24</f>
        <v>0.79927999999999999</v>
      </c>
      <c r="L38" t="s">
        <v>55</v>
      </c>
      <c r="M38" t="s">
        <v>80</v>
      </c>
    </row>
    <row r="39" spans="7:13" x14ac:dyDescent="0.25">
      <c r="G39" s="24" t="s">
        <v>45</v>
      </c>
      <c r="H39" s="6" t="s">
        <v>51</v>
      </c>
      <c r="I39" s="36">
        <f>'NIST Webbook'!U31</f>
        <v>446500</v>
      </c>
      <c r="J39" s="36">
        <f>'NIST Webbook'!V31</f>
        <v>439910</v>
      </c>
      <c r="K39" s="36">
        <f>'NIST Webbook'!W31</f>
        <v>458950</v>
      </c>
      <c r="L39" t="s">
        <v>56</v>
      </c>
      <c r="M39" t="s">
        <v>80</v>
      </c>
    </row>
    <row r="40" spans="7:13" x14ac:dyDescent="0.25">
      <c r="G40" s="24" t="s">
        <v>46</v>
      </c>
      <c r="H40" s="6" t="s">
        <v>52</v>
      </c>
      <c r="I40" s="36">
        <f>'NIST Webbook'!U23</f>
        <v>184920</v>
      </c>
      <c r="J40" s="36">
        <f>'NIST Webbook'!V23</f>
        <v>185010</v>
      </c>
      <c r="K40" s="36">
        <f>'NIST Webbook'!W23</f>
        <v>184300</v>
      </c>
      <c r="L40" t="s">
        <v>62</v>
      </c>
      <c r="M40" t="s">
        <v>80</v>
      </c>
    </row>
    <row r="41" spans="7:13" x14ac:dyDescent="0.25">
      <c r="G41" s="24" t="s">
        <v>47</v>
      </c>
      <c r="H41" s="6" t="s">
        <v>53</v>
      </c>
      <c r="I41" s="36">
        <f>(137.91*SQRT(133-I35+273.15)-2.466*(133-I35+273.15))*1000</f>
        <v>1374497.2896730041</v>
      </c>
      <c r="J41" s="36">
        <f t="shared" ref="J41:K41" si="0">(137.91*SQRT(133-J35+273.15)-2.466*(133-J35+273.15))*1000</f>
        <v>1374431.2080547328</v>
      </c>
      <c r="K41" s="36">
        <f t="shared" si="0"/>
        <v>1374894.720190851</v>
      </c>
      <c r="L41" t="s">
        <v>62</v>
      </c>
      <c r="M41" t="s">
        <v>82</v>
      </c>
    </row>
    <row r="43" spans="7:13" x14ac:dyDescent="0.25">
      <c r="G43" s="28" t="s">
        <v>86</v>
      </c>
      <c r="H43" s="6" t="s">
        <v>87</v>
      </c>
      <c r="I43" s="19">
        <f>PI()*I29^2/4</f>
        <v>5.152997350050658E-3</v>
      </c>
      <c r="J43" s="19">
        <f t="shared" ref="J43:K43" si="1">PI()*J29^2/4</f>
        <v>7.0138019486800634E-3</v>
      </c>
      <c r="K43" s="19">
        <f t="shared" si="1"/>
        <v>7.0138019486800634E-3</v>
      </c>
      <c r="L43" t="s">
        <v>88</v>
      </c>
      <c r="M43" t="s">
        <v>106</v>
      </c>
    </row>
    <row r="44" spans="7:13" x14ac:dyDescent="0.25">
      <c r="G44" s="28" t="s">
        <v>83</v>
      </c>
      <c r="H44" s="6" t="s">
        <v>84</v>
      </c>
      <c r="I44" s="33">
        <f>I28/(I36*I43)</f>
        <v>25.522694998527264</v>
      </c>
      <c r="J44" s="33">
        <f t="shared" ref="J44:K44" si="2">J28/(J36*J43)</f>
        <v>27.32549493336262</v>
      </c>
      <c r="K44" s="33">
        <f t="shared" si="2"/>
        <v>25.472639651795959</v>
      </c>
      <c r="L44" t="s">
        <v>85</v>
      </c>
      <c r="M44" t="s">
        <v>89</v>
      </c>
    </row>
    <row r="45" spans="7:13" x14ac:dyDescent="0.25">
      <c r="G45" s="28" t="s">
        <v>90</v>
      </c>
      <c r="H45" s="6" t="s">
        <v>91</v>
      </c>
      <c r="I45" s="33">
        <f>I44+(I30-I32)/(I36*I44)</f>
        <v>84.724193303921766</v>
      </c>
      <c r="J45" s="33">
        <f t="shared" ref="J45:K45" si="3">J44+(J30-J32)/(J36*J44)</f>
        <v>89.01098386662575</v>
      </c>
      <c r="K45" s="33">
        <f t="shared" si="3"/>
        <v>96.240602461765079</v>
      </c>
      <c r="L45" t="s">
        <v>85</v>
      </c>
      <c r="M45" t="s">
        <v>92</v>
      </c>
    </row>
    <row r="47" spans="7:13" x14ac:dyDescent="0.25">
      <c r="G47" s="28" t="s">
        <v>94</v>
      </c>
      <c r="H47" s="6" t="s">
        <v>93</v>
      </c>
      <c r="I47" s="22">
        <f>1/I41*(I39-I40+0.5*(I44^2-I45^2))</f>
        <v>0.18793533567166792</v>
      </c>
      <c r="J47" s="22">
        <f t="shared" ref="J47:K47" si="4">1/J41*(J39-J40+0.5*(J44^2-J45^2))</f>
        <v>0.18284790263742068</v>
      </c>
      <c r="K47" s="22">
        <f t="shared" si="4"/>
        <v>0.1966283650189497</v>
      </c>
      <c r="M47" t="s">
        <v>95</v>
      </c>
    </row>
    <row r="49" spans="1:13" x14ac:dyDescent="0.25">
      <c r="G49" s="28" t="s">
        <v>101</v>
      </c>
      <c r="H49" s="6" t="s">
        <v>100</v>
      </c>
      <c r="I49" s="23">
        <f>1/((1-I47)/I37+I47/I38)</f>
        <v>4.2599325138207611</v>
      </c>
      <c r="J49" s="23">
        <f t="shared" ref="J49:K49" si="5">1/((1-J47)/J37+J47/J38)</f>
        <v>4.3818658101748635</v>
      </c>
      <c r="K49" s="23">
        <f t="shared" si="5"/>
        <v>4.0456236504113239</v>
      </c>
      <c r="L49" t="s">
        <v>55</v>
      </c>
      <c r="M49" t="s">
        <v>99</v>
      </c>
    </row>
    <row r="51" spans="1:13" x14ac:dyDescent="0.25">
      <c r="G51" s="28" t="s">
        <v>96</v>
      </c>
      <c r="H51" s="6" t="s">
        <v>97</v>
      </c>
      <c r="I51" s="22">
        <f>I36*I44*I43/(I49*I45)</f>
        <v>0.22165617038610785</v>
      </c>
      <c r="J51" s="22">
        <f t="shared" ref="J51:K51" si="6">J36*J44*J43/(J49*J45)</f>
        <v>0.29997370466256118</v>
      </c>
      <c r="K51" s="22">
        <f t="shared" si="6"/>
        <v>0.27738306520808964</v>
      </c>
      <c r="L51" t="s">
        <v>88</v>
      </c>
      <c r="M51" t="s">
        <v>98</v>
      </c>
    </row>
    <row r="52" spans="1:13" x14ac:dyDescent="0.25">
      <c r="G52" s="5" t="s">
        <v>104</v>
      </c>
      <c r="H52" s="6" t="s">
        <v>105</v>
      </c>
      <c r="I52" s="22">
        <f>SQRT(4*I51/PI())</f>
        <v>0.53124514253793198</v>
      </c>
      <c r="J52" s="22">
        <f t="shared" ref="J52:K52" si="7">SQRT(4*J51/PI())</f>
        <v>0.61801163674892046</v>
      </c>
      <c r="K52" s="22">
        <f t="shared" si="7"/>
        <v>0.59428535878211908</v>
      </c>
      <c r="L52" t="s">
        <v>17</v>
      </c>
      <c r="M52" t="s">
        <v>107</v>
      </c>
    </row>
    <row r="54" spans="1:13" x14ac:dyDescent="0.25">
      <c r="A54" s="8" t="s">
        <v>108</v>
      </c>
    </row>
    <row r="56" spans="1:13" x14ac:dyDescent="0.25">
      <c r="G56" s="28" t="s">
        <v>112</v>
      </c>
      <c r="H56" s="6" t="s">
        <v>129</v>
      </c>
      <c r="I56" s="37">
        <f>'NIST Webbook'!U25</f>
        <v>2272.1999999999998</v>
      </c>
      <c r="J56" s="37">
        <f>'NIST Webbook'!V25</f>
        <v>2272.4</v>
      </c>
      <c r="K56" s="37">
        <f>'NIST Webbook'!W25</f>
        <v>2270.9</v>
      </c>
      <c r="L56" s="21" t="str">
        <f>'NIST Webbook'!X25</f>
        <v>J/kg K</v>
      </c>
      <c r="M56" t="s">
        <v>80</v>
      </c>
    </row>
    <row r="57" spans="1:13" x14ac:dyDescent="0.25">
      <c r="G57" s="5" t="s">
        <v>111</v>
      </c>
      <c r="H57" s="6" t="s">
        <v>113</v>
      </c>
      <c r="I57" s="2">
        <v>1005</v>
      </c>
      <c r="J57" s="2">
        <v>1005</v>
      </c>
      <c r="K57" s="2">
        <v>1005</v>
      </c>
      <c r="L57" t="s">
        <v>57</v>
      </c>
      <c r="M57" t="s">
        <v>110</v>
      </c>
    </row>
    <row r="58" spans="1:13" x14ac:dyDescent="0.25">
      <c r="G58" s="5" t="s">
        <v>114</v>
      </c>
      <c r="H58" s="6" t="s">
        <v>115</v>
      </c>
      <c r="I58" s="2">
        <v>17.0305</v>
      </c>
      <c r="J58" s="2">
        <v>17.0305</v>
      </c>
      <c r="K58" s="2">
        <v>17.0305</v>
      </c>
      <c r="L58" t="s">
        <v>116</v>
      </c>
      <c r="M58" t="s">
        <v>117</v>
      </c>
    </row>
    <row r="59" spans="1:13" x14ac:dyDescent="0.25">
      <c r="G59" s="5" t="s">
        <v>118</v>
      </c>
      <c r="H59" s="6" t="s">
        <v>119</v>
      </c>
      <c r="I59" s="2">
        <v>28.97</v>
      </c>
      <c r="J59" s="2">
        <v>28.97</v>
      </c>
      <c r="K59" s="2">
        <v>28.97</v>
      </c>
      <c r="L59" t="s">
        <v>116</v>
      </c>
      <c r="M59" t="s">
        <v>120</v>
      </c>
    </row>
    <row r="61" spans="1:13" x14ac:dyDescent="0.25">
      <c r="G61" s="5" t="s">
        <v>122</v>
      </c>
      <c r="H61" s="41" t="s">
        <v>121</v>
      </c>
      <c r="I61" s="43">
        <v>204.67180282622121</v>
      </c>
      <c r="J61" s="43">
        <v>204.78138567583423</v>
      </c>
      <c r="K61" s="43">
        <v>205.06591529140212</v>
      </c>
      <c r="L61" s="4" t="s">
        <v>24</v>
      </c>
      <c r="M61" t="s">
        <v>132</v>
      </c>
    </row>
    <row r="62" spans="1:13" x14ac:dyDescent="0.25">
      <c r="G62" s="5" t="s">
        <v>123</v>
      </c>
      <c r="H62" s="6" t="s">
        <v>124</v>
      </c>
      <c r="I62" s="39">
        <f>(10^(Antoine!$P$29-Antoine!$Q$29/('HSE-Tickle Calc'!I61+Antoine!$R$29)))*100000</f>
        <v>12520.051306613266</v>
      </c>
      <c r="J62" s="39">
        <f>(10^(Antoine!$P$29-Antoine!$Q$29/('HSE-Tickle Calc'!J61+Antoine!$R$29)))*100000</f>
        <v>12624.683606870101</v>
      </c>
      <c r="K62" s="39">
        <f>(10^(Antoine!$P$29-Antoine!$Q$29/('HSE-Tickle Calc'!K61+Antoine!$R$29)))*100000</f>
        <v>12899.576257407658</v>
      </c>
      <c r="L62" t="s">
        <v>19</v>
      </c>
      <c r="M62" t="s">
        <v>130</v>
      </c>
    </row>
    <row r="63" spans="1:13" x14ac:dyDescent="0.25">
      <c r="G63" s="5" t="s">
        <v>125</v>
      </c>
      <c r="H63" s="41" t="s">
        <v>126</v>
      </c>
      <c r="I63" s="44">
        <f>I62/I32</f>
        <v>0.13773433780652658</v>
      </c>
      <c r="J63" s="44">
        <f t="shared" ref="J63:K63" si="8">J62/J32</f>
        <v>0.13873278688868243</v>
      </c>
      <c r="K63" s="44">
        <f t="shared" si="8"/>
        <v>0.14285245024814683</v>
      </c>
      <c r="L63" s="4"/>
      <c r="M63" t="s">
        <v>131</v>
      </c>
    </row>
    <row r="64" spans="1:13" x14ac:dyDescent="0.25">
      <c r="G64" s="5" t="s">
        <v>128</v>
      </c>
      <c r="I64" s="39">
        <f>I63*I58*(I56*(I35-I61)-(1-I47)*I41)+(1-I63)*I59*I57*(I33-I61)</f>
        <v>1.648440957069397E-7</v>
      </c>
      <c r="J64" s="39">
        <f t="shared" ref="J64:K64" si="9">J63*J58*(J56*(J35-J61)-(1-J47)*J41)+(1-J63)*J59*J57*(J33-J61)</f>
        <v>-1.862645149230957E-8</v>
      </c>
      <c r="K64" s="39">
        <f t="shared" si="9"/>
        <v>-9.7788870334625244E-9</v>
      </c>
      <c r="M64" t="s">
        <v>133</v>
      </c>
    </row>
    <row r="66" spans="7:13" x14ac:dyDescent="0.25">
      <c r="H66" s="5" t="s">
        <v>137</v>
      </c>
      <c r="I66" s="22">
        <f>I63*I58</f>
        <v>2.345684640014051</v>
      </c>
      <c r="J66" s="22">
        <f t="shared" ref="J66:K66" si="10">J63*J58</f>
        <v>2.3626887271077059</v>
      </c>
      <c r="K66" s="22">
        <f t="shared" si="10"/>
        <v>2.4328486539510648</v>
      </c>
      <c r="L66" t="s">
        <v>116</v>
      </c>
      <c r="M66" t="s">
        <v>143</v>
      </c>
    </row>
    <row r="67" spans="7:13" x14ac:dyDescent="0.25">
      <c r="H67" s="5" t="s">
        <v>138</v>
      </c>
      <c r="I67" s="22">
        <f>(1-I63)*I59</f>
        <v>24.979836233744926</v>
      </c>
      <c r="J67" s="22">
        <f t="shared" ref="J67:K67" si="11">(1-J63)*J59</f>
        <v>24.950911163834871</v>
      </c>
      <c r="K67" s="22">
        <f t="shared" si="11"/>
        <v>24.831564516311186</v>
      </c>
      <c r="L67" t="s">
        <v>116</v>
      </c>
      <c r="M67" t="s">
        <v>143</v>
      </c>
    </row>
    <row r="68" spans="7:13" x14ac:dyDescent="0.25">
      <c r="G68" s="5" t="s">
        <v>139</v>
      </c>
      <c r="H68" s="6" t="s">
        <v>199</v>
      </c>
      <c r="I68" s="22">
        <f>I32*I58/(8314*I61)</f>
        <v>0.90975247691893069</v>
      </c>
      <c r="J68" s="22">
        <f t="shared" ref="J68:K68" si="12">J32*J58/(8314*J61)</f>
        <v>0.91026594137492678</v>
      </c>
      <c r="K68" s="22">
        <f t="shared" si="12"/>
        <v>0.90201061411802774</v>
      </c>
      <c r="L68" t="s">
        <v>55</v>
      </c>
      <c r="M68" t="s">
        <v>142</v>
      </c>
    </row>
    <row r="69" spans="7:13" x14ac:dyDescent="0.25">
      <c r="G69" s="5" t="s">
        <v>140</v>
      </c>
      <c r="H69" s="6" t="s">
        <v>141</v>
      </c>
      <c r="I69" s="22">
        <f>I32*I59/(8314*I61)</f>
        <v>1.5475487658225784</v>
      </c>
      <c r="J69" s="22">
        <f t="shared" ref="J69:K69" si="13">J32*J59/(8314*J61)</f>
        <v>1.5484222026148164</v>
      </c>
      <c r="K69" s="22">
        <f t="shared" si="13"/>
        <v>1.5343793482868537</v>
      </c>
      <c r="L69" t="s">
        <v>55</v>
      </c>
      <c r="M69" t="s">
        <v>142</v>
      </c>
    </row>
    <row r="70" spans="7:13" x14ac:dyDescent="0.25">
      <c r="G70" s="5" t="s">
        <v>134</v>
      </c>
      <c r="H70" s="45" t="s">
        <v>135</v>
      </c>
      <c r="I70" s="46">
        <f>(I66+I67)/(I66/I68+I67/I69)</f>
        <v>1.4597023163149743</v>
      </c>
      <c r="J70" s="46">
        <f t="shared" ref="J70:K70" si="14">(J66+J67)/(J66/J68+J67/J69)</f>
        <v>1.4598890060225447</v>
      </c>
      <c r="K70" s="46">
        <f t="shared" si="14"/>
        <v>1.4440439251505179</v>
      </c>
      <c r="L70" s="38" t="s">
        <v>55</v>
      </c>
      <c r="M70" t="s">
        <v>136</v>
      </c>
    </row>
    <row r="72" spans="7:13" x14ac:dyDescent="0.25">
      <c r="G72" s="5" t="s">
        <v>152</v>
      </c>
      <c r="H72" s="41" t="s">
        <v>144</v>
      </c>
      <c r="I72" s="43">
        <f>I45/(1+I67/I66)</f>
        <v>7.2729167648342754</v>
      </c>
      <c r="J72" s="43">
        <f t="shared" ref="J72:K72" si="15">J45/(1+J67/J66)</f>
        <v>7.6996532500346673</v>
      </c>
      <c r="K72" s="43">
        <f t="shared" si="15"/>
        <v>8.5877080387676852</v>
      </c>
      <c r="L72" s="4" t="s">
        <v>85</v>
      </c>
      <c r="M72" t="s">
        <v>145</v>
      </c>
    </row>
    <row r="74" spans="7:13" x14ac:dyDescent="0.25">
      <c r="G74" s="5" t="s">
        <v>151</v>
      </c>
      <c r="H74" s="6" t="s">
        <v>146</v>
      </c>
      <c r="I74" s="33">
        <f>I49*I45^2*I51/(I70*I72^2)</f>
        <v>87.784107420365416</v>
      </c>
      <c r="J74" s="33">
        <f t="shared" ref="J74:K74" si="16">J49*J45^2*J51/(J70*J72^2)</f>
        <v>120.32816406378916</v>
      </c>
      <c r="K74" s="33">
        <f t="shared" si="16"/>
        <v>97.599398806889809</v>
      </c>
      <c r="L74" t="s">
        <v>88</v>
      </c>
      <c r="M74" t="s">
        <v>147</v>
      </c>
    </row>
    <row r="76" spans="7:13" x14ac:dyDescent="0.25">
      <c r="G76" s="5" t="s">
        <v>150</v>
      </c>
      <c r="H76" s="41" t="s">
        <v>148</v>
      </c>
      <c r="I76" s="43">
        <f>SQRT(I74/2)</f>
        <v>6.6251078263061283</v>
      </c>
      <c r="J76" s="43">
        <f t="shared" ref="J76:K76" si="17">SQRT(J74/2)</f>
        <v>7.7565509108040143</v>
      </c>
      <c r="K76" s="43">
        <f t="shared" si="17"/>
        <v>6.985678163460217</v>
      </c>
      <c r="L76" s="4" t="s">
        <v>17</v>
      </c>
      <c r="M76" t="s">
        <v>149</v>
      </c>
    </row>
    <row r="78" spans="7:13" x14ac:dyDescent="0.25">
      <c r="G78" s="5" t="s">
        <v>155</v>
      </c>
      <c r="H78" s="6" t="s">
        <v>156</v>
      </c>
      <c r="I78" s="23">
        <f>I32*I59/(8314*I33)</f>
        <v>1.0489802810478583</v>
      </c>
      <c r="J78" s="23">
        <f t="shared" ref="J78:K78" si="18">J32*J59/(8314*J33)</f>
        <v>1.044599058681237</v>
      </c>
      <c r="K78" s="23">
        <f t="shared" si="18"/>
        <v>1.0297787774854157</v>
      </c>
      <c r="L78" t="s">
        <v>55</v>
      </c>
      <c r="M78" t="s">
        <v>171</v>
      </c>
    </row>
    <row r="79" spans="7:13" x14ac:dyDescent="0.25">
      <c r="G79" s="5" t="s">
        <v>154</v>
      </c>
      <c r="H79" s="6" t="s">
        <v>153</v>
      </c>
      <c r="I79" s="23">
        <f>I70/I78</f>
        <v>1.39154409543031</v>
      </c>
      <c r="J79" s="23">
        <f t="shared" ref="J79:K79" si="19">J70/J78</f>
        <v>1.3975591820517184</v>
      </c>
      <c r="K79" s="23">
        <f t="shared" si="19"/>
        <v>1.4022855750403822</v>
      </c>
      <c r="M79" t="s">
        <v>172</v>
      </c>
    </row>
    <row r="81" spans="7:13" x14ac:dyDescent="0.25">
      <c r="G81" s="5" t="s">
        <v>157</v>
      </c>
      <c r="H81" s="6" t="s">
        <v>158</v>
      </c>
      <c r="I81" s="33">
        <f>(I79-1)*I72*I74</f>
        <v>249.97995988525088</v>
      </c>
      <c r="J81" s="33">
        <f t="shared" ref="J81:K81" si="20">(J79-1)*J72*J74</f>
        <v>368.33267424446484</v>
      </c>
      <c r="K81" s="33">
        <f t="shared" si="20"/>
        <v>337.17772315699517</v>
      </c>
      <c r="L81" t="s">
        <v>200</v>
      </c>
      <c r="M81" t="s">
        <v>173</v>
      </c>
    </row>
    <row r="82" spans="7:13" x14ac:dyDescent="0.25">
      <c r="G82" s="5" t="s">
        <v>159</v>
      </c>
      <c r="H82" s="6" t="s">
        <v>160</v>
      </c>
      <c r="I82" s="40">
        <f>I79*I72^2*I74</f>
        <v>6461.4517420127813</v>
      </c>
      <c r="J82" s="40">
        <f t="shared" ref="J82:K82" si="21">J79*J72^2*J74</f>
        <v>9969.6481878346822</v>
      </c>
      <c r="K82" s="40">
        <f t="shared" si="21"/>
        <v>10093.415491870372</v>
      </c>
      <c r="L82" t="s">
        <v>201</v>
      </c>
      <c r="M82" t="s">
        <v>174</v>
      </c>
    </row>
    <row r="83" spans="7:13" x14ac:dyDescent="0.25">
      <c r="I83" s="23"/>
      <c r="J83" s="23"/>
      <c r="K83" s="23"/>
    </row>
    <row r="84" spans="7:13" x14ac:dyDescent="0.25">
      <c r="G84" s="5" t="s">
        <v>161</v>
      </c>
      <c r="H84" s="6" t="s">
        <v>66</v>
      </c>
      <c r="I84" s="23">
        <f>(I81^2/(PI()*I82))^0.5</f>
        <v>1.7545478029282502</v>
      </c>
      <c r="J84" s="23">
        <f t="shared" ref="J84:K84" si="22">(J81^2/(PI()*J82))^0.5</f>
        <v>2.0812554749466239</v>
      </c>
      <c r="K84" s="23">
        <f t="shared" si="22"/>
        <v>1.8934980480120545</v>
      </c>
      <c r="L84" t="s">
        <v>17</v>
      </c>
      <c r="M84" t="s">
        <v>175</v>
      </c>
    </row>
    <row r="85" spans="7:13" x14ac:dyDescent="0.25">
      <c r="G85" s="5" t="s">
        <v>162</v>
      </c>
      <c r="H85" s="6" t="s">
        <v>163</v>
      </c>
      <c r="I85" s="23">
        <f>I82/I81</f>
        <v>25.847878945891512</v>
      </c>
      <c r="J85" s="23">
        <f t="shared" ref="J85:K85" si="23">J82/J81</f>
        <v>27.06696659014769</v>
      </c>
      <c r="K85" s="23">
        <f t="shared" si="23"/>
        <v>29.935001035553945</v>
      </c>
      <c r="L85" t="s">
        <v>85</v>
      </c>
      <c r="M85" t="s">
        <v>176</v>
      </c>
    </row>
    <row r="86" spans="7:13" x14ac:dyDescent="0.25">
      <c r="I86" s="23"/>
      <c r="J86" s="23"/>
      <c r="K86" s="23"/>
    </row>
    <row r="87" spans="7:13" x14ac:dyDescent="0.25">
      <c r="G87" s="5" t="s">
        <v>164</v>
      </c>
      <c r="H87" s="6" t="s">
        <v>165</v>
      </c>
      <c r="I87" s="22">
        <f>(I72/I85)^0.5</f>
        <v>0.53044682358204376</v>
      </c>
      <c r="J87" s="22">
        <f t="shared" ref="J87:K87" si="24">(J72/J85)^0.5</f>
        <v>0.53335428704425891</v>
      </c>
      <c r="K87" s="22">
        <f t="shared" si="24"/>
        <v>0.53561039459203941</v>
      </c>
      <c r="M87" t="s">
        <v>177</v>
      </c>
    </row>
    <row r="88" spans="7:13" x14ac:dyDescent="0.25">
      <c r="G88" s="5" t="s">
        <v>164</v>
      </c>
      <c r="H88" s="6" t="s">
        <v>166</v>
      </c>
      <c r="I88" s="23">
        <f>(1/I87^2-1)^0.5</f>
        <v>1.5981210076979675</v>
      </c>
      <c r="J88" s="23">
        <f t="shared" ref="J88:K88" si="25">(1/J87^2-1)^0.5</f>
        <v>1.5859851106068172</v>
      </c>
      <c r="K88" s="23">
        <f t="shared" si="25"/>
        <v>1.5766408325828651</v>
      </c>
      <c r="M88" t="s">
        <v>178</v>
      </c>
    </row>
    <row r="89" spans="7:13" x14ac:dyDescent="0.25">
      <c r="I89" s="23"/>
      <c r="J89" s="23"/>
      <c r="K89" s="23"/>
    </row>
    <row r="90" spans="7:13" x14ac:dyDescent="0.25">
      <c r="G90" s="5" t="s">
        <v>167</v>
      </c>
      <c r="H90" s="6" t="s">
        <v>168</v>
      </c>
      <c r="I90" s="23">
        <f>I88*SQRT(1+I88^2)+LN(I88+SQRT(1+I88^2))</f>
        <v>4.2607697326167537</v>
      </c>
      <c r="J90" s="23">
        <f t="shared" ref="J90:K90" si="26">J88*SQRT(1+J88^2)+LN(J88+SQRT(1+J88^2))</f>
        <v>4.2151372334551196</v>
      </c>
      <c r="K90" s="23">
        <f t="shared" si="26"/>
        <v>4.1801713856230176</v>
      </c>
      <c r="M90" t="s">
        <v>179</v>
      </c>
    </row>
    <row r="91" spans="7:13" x14ac:dyDescent="0.25">
      <c r="G91" s="5" t="s">
        <v>182</v>
      </c>
      <c r="H91" s="6" t="s">
        <v>180</v>
      </c>
      <c r="I91">
        <v>0.08</v>
      </c>
      <c r="J91">
        <v>0.08</v>
      </c>
      <c r="K91">
        <v>0.08</v>
      </c>
    </row>
    <row r="92" spans="7:13" x14ac:dyDescent="0.25">
      <c r="G92" s="5" t="s">
        <v>169</v>
      </c>
      <c r="H92" s="41" t="s">
        <v>181</v>
      </c>
      <c r="I92" s="42">
        <f>I90*I84/(2*I91)</f>
        <v>46.723276082161959</v>
      </c>
      <c r="J92" s="42">
        <f t="shared" ref="J92:K92" si="27">J90*J84/(2*J91)</f>
        <v>54.829859029873958</v>
      </c>
      <c r="K92" s="42">
        <f t="shared" si="27"/>
        <v>49.469664743956429</v>
      </c>
      <c r="L92" s="4" t="s">
        <v>17</v>
      </c>
      <c r="M92" t="s">
        <v>170</v>
      </c>
    </row>
    <row r="94" spans="7:13" x14ac:dyDescent="0.25">
      <c r="G94" s="5" t="s">
        <v>205</v>
      </c>
      <c r="I94">
        <v>5</v>
      </c>
      <c r="J94">
        <v>5</v>
      </c>
      <c r="K94">
        <v>5</v>
      </c>
    </row>
    <row r="95" spans="7:13" x14ac:dyDescent="0.25">
      <c r="G95" s="5" t="s">
        <v>206</v>
      </c>
      <c r="H95" s="6" t="s">
        <v>210</v>
      </c>
      <c r="I95" s="33">
        <f>SQRT(I74/I94)</f>
        <v>4.1900860950669117</v>
      </c>
      <c r="J95" s="33">
        <f t="shared" ref="J95:K95" si="28">SQRT(J74/J94)</f>
        <v>4.9056735330388461</v>
      </c>
      <c r="K95" s="33">
        <f t="shared" si="28"/>
        <v>4.4181307994872627</v>
      </c>
    </row>
    <row r="96" spans="7:13" x14ac:dyDescent="0.25">
      <c r="G96" s="5" t="s">
        <v>209</v>
      </c>
      <c r="H96" s="5" t="s">
        <v>208</v>
      </c>
      <c r="I96" s="33">
        <f>SQRT(5*I74)</f>
        <v>20.95043047533456</v>
      </c>
      <c r="J96" s="33">
        <f t="shared" ref="J96:K96" si="29">SQRT(5*J74)</f>
        <v>24.528367665194228</v>
      </c>
      <c r="K96" s="33">
        <f t="shared" si="29"/>
        <v>22.090653997436313</v>
      </c>
    </row>
    <row r="97" spans="6:11" x14ac:dyDescent="0.25">
      <c r="F97" t="s">
        <v>212</v>
      </c>
      <c r="G97" s="5" t="s">
        <v>211</v>
      </c>
      <c r="I97" s="33">
        <f>I96*I95</f>
        <v>87.784107420365402</v>
      </c>
      <c r="J97" s="33">
        <f t="shared" ref="J97:K97" si="30">J96*J95</f>
        <v>120.32816406378916</v>
      </c>
      <c r="K97" s="33">
        <f t="shared" si="30"/>
        <v>97.599398806889795</v>
      </c>
    </row>
    <row r="99" spans="6:11" x14ac:dyDescent="0.25">
      <c r="G99" s="5" t="s">
        <v>213</v>
      </c>
      <c r="H99" s="6" t="s">
        <v>126</v>
      </c>
      <c r="I99">
        <v>0.13</v>
      </c>
      <c r="J99">
        <v>0.13</v>
      </c>
    </row>
    <row r="100" spans="6:11" x14ac:dyDescent="0.25">
      <c r="G100" s="5" t="s">
        <v>214</v>
      </c>
      <c r="H100" s="6" t="s">
        <v>121</v>
      </c>
      <c r="I100">
        <v>205</v>
      </c>
      <c r="J100">
        <v>205</v>
      </c>
    </row>
    <row r="101" spans="6:11" x14ac:dyDescent="0.25">
      <c r="G101" s="5" t="s">
        <v>215</v>
      </c>
      <c r="H101" s="6" t="s">
        <v>207</v>
      </c>
      <c r="I101" s="4">
        <v>6.4</v>
      </c>
      <c r="J101">
        <v>8.4</v>
      </c>
    </row>
    <row r="102" spans="6:11" x14ac:dyDescent="0.25">
      <c r="G102" s="5" t="s">
        <v>216</v>
      </c>
      <c r="H102" s="6" t="s">
        <v>146</v>
      </c>
      <c r="I102">
        <f>2*I101*I101</f>
        <v>81.920000000000016</v>
      </c>
      <c r="J102">
        <f>2*J101*J101</f>
        <v>141.12</v>
      </c>
    </row>
    <row r="103" spans="6:11" x14ac:dyDescent="0.25">
      <c r="G103" s="5" t="s">
        <v>217</v>
      </c>
      <c r="I103">
        <v>5</v>
      </c>
      <c r="J103">
        <v>5</v>
      </c>
    </row>
    <row r="104" spans="6:11" x14ac:dyDescent="0.25">
      <c r="G104" s="5" t="s">
        <v>206</v>
      </c>
      <c r="H104" s="6" t="s">
        <v>210</v>
      </c>
      <c r="I104" s="33">
        <f>SQRT(I102/I103)</f>
        <v>4.0477154050155262</v>
      </c>
      <c r="J104" s="33">
        <f>SQRT(J102/J103)</f>
        <v>5.3126264690828773</v>
      </c>
    </row>
    <row r="105" spans="6:11" x14ac:dyDescent="0.25">
      <c r="G105" s="5" t="s">
        <v>209</v>
      </c>
      <c r="H105" s="5" t="s">
        <v>208</v>
      </c>
      <c r="I105" s="33">
        <f>SQRT(I103*I102)</f>
        <v>20.238577025077628</v>
      </c>
      <c r="J105" s="33">
        <f>SQRT(J103*J102)</f>
        <v>26.563132345414388</v>
      </c>
    </row>
    <row r="106" spans="6:11" x14ac:dyDescent="0.25">
      <c r="F106" t="s">
        <v>212</v>
      </c>
      <c r="G106" s="5" t="s">
        <v>211</v>
      </c>
      <c r="I106" s="33">
        <f>I105*I104</f>
        <v>81.920000000000016</v>
      </c>
      <c r="J106" s="33">
        <f>J105*J104</f>
        <v>141.12</v>
      </c>
    </row>
    <row r="108" spans="6:11" x14ac:dyDescent="0.25">
      <c r="G108" s="5" t="s">
        <v>218</v>
      </c>
      <c r="H108" s="6" t="s">
        <v>141</v>
      </c>
      <c r="I108" s="22">
        <f>I32/(8314/I59*I100)</f>
        <v>1.5450711993287842</v>
      </c>
      <c r="J108" s="22">
        <f>J32/(8314/J59*J100)</f>
        <v>1.5467709476228753</v>
      </c>
    </row>
    <row r="109" spans="6:11" x14ac:dyDescent="0.25">
      <c r="G109" s="5" t="s">
        <v>219</v>
      </c>
      <c r="H109" s="6" t="s">
        <v>220</v>
      </c>
      <c r="I109" s="22">
        <f>I32/(8314/I58*I100)</f>
        <v>0.90829599793472082</v>
      </c>
      <c r="J109" s="22">
        <f>J32/(8314/J58*J100)</f>
        <v>0.90929522345500102</v>
      </c>
    </row>
    <row r="110" spans="6:11" x14ac:dyDescent="0.25">
      <c r="H110" s="5" t="s">
        <v>137</v>
      </c>
      <c r="I110">
        <f>I99*I58</f>
        <v>2.213965</v>
      </c>
      <c r="J110">
        <f>J99*J58</f>
        <v>2.213965</v>
      </c>
    </row>
    <row r="111" spans="6:11" x14ac:dyDescent="0.25">
      <c r="H111" s="5" t="s">
        <v>138</v>
      </c>
      <c r="I111">
        <f>(1-I99)*I59</f>
        <v>25.203899999999997</v>
      </c>
      <c r="J111">
        <f>(1-J99)*J59</f>
        <v>25.203899999999997</v>
      </c>
    </row>
    <row r="112" spans="6:11" x14ac:dyDescent="0.25">
      <c r="H112" s="6" t="s">
        <v>135</v>
      </c>
      <c r="I112" s="23">
        <f>(I110+I111)/(I110/I109+I111/I108)</f>
        <v>1.4622904231475562</v>
      </c>
      <c r="J112" s="23">
        <f>(J110+J111)/(J110/J109+J111/J108)</f>
        <v>1.4638991034810518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7F46-C255-4817-8347-F9F92DA4C688}">
  <dimension ref="A1:W43"/>
  <sheetViews>
    <sheetView topLeftCell="A22" workbookViewId="0">
      <selection activeCell="B1" sqref="B1"/>
    </sheetView>
  </sheetViews>
  <sheetFormatPr defaultRowHeight="15" x14ac:dyDescent="0.25"/>
  <cols>
    <col min="22" max="22" width="10.5703125" bestFit="1" customWidth="1"/>
  </cols>
  <sheetData>
    <row r="1" spans="1:23" x14ac:dyDescent="0.25">
      <c r="A1" t="s">
        <v>27</v>
      </c>
      <c r="B1" s="17" t="s">
        <v>28</v>
      </c>
    </row>
    <row r="2" spans="1:23" x14ac:dyDescent="0.25">
      <c r="S2" t="s">
        <v>32</v>
      </c>
      <c r="U2" t="s">
        <v>34</v>
      </c>
    </row>
    <row r="3" spans="1:23" x14ac:dyDescent="0.25">
      <c r="S3" t="s">
        <v>33</v>
      </c>
      <c r="T3" t="s">
        <v>36</v>
      </c>
      <c r="U3" t="s">
        <v>35</v>
      </c>
      <c r="V3" t="s">
        <v>37</v>
      </c>
    </row>
    <row r="4" spans="1:23" x14ac:dyDescent="0.25">
      <c r="S4">
        <v>239.6</v>
      </c>
      <c r="T4">
        <f>S4-273.15</f>
        <v>-33.549999999999983</v>
      </c>
      <c r="U4" s="20">
        <f>10^($P$29-$Q$29/(S4+$R$29))</f>
        <v>0.99330795854570764</v>
      </c>
      <c r="V4" s="18">
        <f>U4*100000</f>
        <v>99330.795854570766</v>
      </c>
      <c r="W4" t="s">
        <v>38</v>
      </c>
    </row>
    <row r="5" spans="1:23" x14ac:dyDescent="0.25">
      <c r="S5">
        <v>239</v>
      </c>
      <c r="T5">
        <f>S5-273.15</f>
        <v>-34.149999999999977</v>
      </c>
      <c r="U5" s="20">
        <f t="shared" ref="U5:U43" si="0">10^($P$29-$Q$29/(S5+$R$29))</f>
        <v>0.96601749507466173</v>
      </c>
      <c r="V5" s="18">
        <f>U5*100000</f>
        <v>96601.749507466171</v>
      </c>
    </row>
    <row r="6" spans="1:23" x14ac:dyDescent="0.25">
      <c r="S6">
        <f>S5-1</f>
        <v>238</v>
      </c>
      <c r="T6">
        <f t="shared" ref="T6:T43" si="1">S6-273.15</f>
        <v>-35.149999999999977</v>
      </c>
      <c r="U6" s="20">
        <f t="shared" si="0"/>
        <v>0.92175373321717557</v>
      </c>
      <c r="V6" s="18">
        <f t="shared" ref="V6:V43" si="2">U6*100000</f>
        <v>92175.373321717561</v>
      </c>
    </row>
    <row r="7" spans="1:23" x14ac:dyDescent="0.25">
      <c r="S7">
        <f t="shared" ref="S7:S43" si="3">S6-1</f>
        <v>237</v>
      </c>
      <c r="T7">
        <f t="shared" si="1"/>
        <v>-36.149999999999977</v>
      </c>
      <c r="U7" s="20">
        <f t="shared" si="0"/>
        <v>0.878990196783486</v>
      </c>
      <c r="V7" s="18">
        <f t="shared" si="2"/>
        <v>87899.019678348603</v>
      </c>
    </row>
    <row r="8" spans="1:23" x14ac:dyDescent="0.25">
      <c r="S8">
        <f t="shared" si="3"/>
        <v>236</v>
      </c>
      <c r="T8">
        <f t="shared" si="1"/>
        <v>-37.149999999999977</v>
      </c>
      <c r="U8" s="20">
        <f t="shared" si="0"/>
        <v>0.8376977138970394</v>
      </c>
      <c r="V8" s="18">
        <f t="shared" si="2"/>
        <v>83769.771389703936</v>
      </c>
    </row>
    <row r="9" spans="1:23" x14ac:dyDescent="0.25">
      <c r="S9">
        <f t="shared" si="3"/>
        <v>235</v>
      </c>
      <c r="T9">
        <f t="shared" si="1"/>
        <v>-38.149999999999977</v>
      </c>
      <c r="U9" s="20">
        <f t="shared" si="0"/>
        <v>0.79784702575246391</v>
      </c>
      <c r="V9" s="18">
        <f t="shared" si="2"/>
        <v>79784.702575246396</v>
      </c>
    </row>
    <row r="10" spans="1:23" x14ac:dyDescent="0.25">
      <c r="S10">
        <f t="shared" si="3"/>
        <v>234</v>
      </c>
      <c r="T10">
        <f t="shared" si="1"/>
        <v>-39.149999999999977</v>
      </c>
      <c r="U10" s="20">
        <f t="shared" si="0"/>
        <v>0.75940880083354745</v>
      </c>
      <c r="V10" s="18">
        <f t="shared" si="2"/>
        <v>75940.880083354743</v>
      </c>
    </row>
    <row r="11" spans="1:23" x14ac:dyDescent="0.25">
      <c r="S11">
        <f t="shared" si="3"/>
        <v>233</v>
      </c>
      <c r="T11">
        <f t="shared" si="1"/>
        <v>-40.149999999999977</v>
      </c>
      <c r="U11" s="20">
        <f t="shared" si="0"/>
        <v>0.72235364942122537</v>
      </c>
      <c r="V11" s="18">
        <f t="shared" si="2"/>
        <v>72235.364942122542</v>
      </c>
    </row>
    <row r="12" spans="1:23" x14ac:dyDescent="0.25">
      <c r="S12">
        <f t="shared" si="3"/>
        <v>232</v>
      </c>
      <c r="T12">
        <f t="shared" si="1"/>
        <v>-41.149999999999977</v>
      </c>
      <c r="U12" s="20">
        <f t="shared" si="0"/>
        <v>0.68665213838161077</v>
      </c>
      <c r="V12" s="18">
        <f t="shared" si="2"/>
        <v>68665.213838161071</v>
      </c>
    </row>
    <row r="13" spans="1:23" x14ac:dyDescent="0.25">
      <c r="S13">
        <f t="shared" si="3"/>
        <v>231</v>
      </c>
      <c r="T13">
        <f t="shared" si="1"/>
        <v>-42.149999999999977</v>
      </c>
      <c r="U13" s="20">
        <f t="shared" si="0"/>
        <v>0.6522748062231567</v>
      </c>
      <c r="V13" s="18">
        <f t="shared" si="2"/>
        <v>65227.48062231567</v>
      </c>
    </row>
    <row r="14" spans="1:23" x14ac:dyDescent="0.25">
      <c r="S14">
        <f t="shared" si="3"/>
        <v>230</v>
      </c>
      <c r="T14">
        <f t="shared" si="1"/>
        <v>-43.149999999999977</v>
      </c>
      <c r="U14" s="20">
        <f t="shared" si="0"/>
        <v>0.61919217841111263</v>
      </c>
      <c r="V14" s="18">
        <f t="shared" si="2"/>
        <v>61919.217841111262</v>
      </c>
    </row>
    <row r="15" spans="1:23" x14ac:dyDescent="0.25">
      <c r="S15">
        <f t="shared" si="3"/>
        <v>229</v>
      </c>
      <c r="T15">
        <f t="shared" si="1"/>
        <v>-44.149999999999977</v>
      </c>
      <c r="U15" s="20">
        <f t="shared" si="0"/>
        <v>0.58737478292643241</v>
      </c>
      <c r="V15" s="18">
        <f t="shared" si="2"/>
        <v>58737.478292643238</v>
      </c>
    </row>
    <row r="16" spans="1:23" x14ac:dyDescent="0.25">
      <c r="S16">
        <f t="shared" si="3"/>
        <v>228</v>
      </c>
      <c r="T16">
        <f t="shared" si="1"/>
        <v>-45.149999999999977</v>
      </c>
      <c r="U16" s="20">
        <f t="shared" si="0"/>
        <v>0.55679316605530604</v>
      </c>
      <c r="V16" s="18">
        <f t="shared" si="2"/>
        <v>55679.316605530606</v>
      </c>
    </row>
    <row r="17" spans="16:22" x14ac:dyDescent="0.25">
      <c r="S17">
        <f t="shared" si="3"/>
        <v>227</v>
      </c>
      <c r="T17">
        <f t="shared" si="1"/>
        <v>-46.149999999999977</v>
      </c>
      <c r="U17" s="20">
        <f t="shared" si="0"/>
        <v>0.52741790839445157</v>
      </c>
      <c r="V17" s="18">
        <f t="shared" si="2"/>
        <v>52741.790839445159</v>
      </c>
    </row>
    <row r="18" spans="16:22" x14ac:dyDescent="0.25">
      <c r="S18">
        <f t="shared" si="3"/>
        <v>226</v>
      </c>
      <c r="T18">
        <f t="shared" si="1"/>
        <v>-47.149999999999977</v>
      </c>
      <c r="U18" s="20">
        <f t="shared" si="0"/>
        <v>0.49921964105626809</v>
      </c>
      <c r="V18" s="18">
        <f t="shared" si="2"/>
        <v>49921.964105626808</v>
      </c>
    </row>
    <row r="19" spans="16:22" x14ac:dyDescent="0.25">
      <c r="S19">
        <f t="shared" si="3"/>
        <v>225</v>
      </c>
      <c r="T19">
        <f t="shared" si="1"/>
        <v>-48.149999999999977</v>
      </c>
      <c r="U19" s="20">
        <f t="shared" si="0"/>
        <v>0.47216906205688253</v>
      </c>
      <c r="V19" s="18">
        <f t="shared" si="2"/>
        <v>47216.906205688254</v>
      </c>
    </row>
    <row r="20" spans="16:22" x14ac:dyDescent="0.25">
      <c r="S20">
        <f t="shared" si="3"/>
        <v>224</v>
      </c>
      <c r="T20">
        <f t="shared" si="1"/>
        <v>-49.149999999999977</v>
      </c>
      <c r="U20" s="20">
        <f t="shared" si="0"/>
        <v>0.44623695286905585</v>
      </c>
      <c r="V20" s="18">
        <f t="shared" si="2"/>
        <v>44623.695286905582</v>
      </c>
    </row>
    <row r="21" spans="16:22" x14ac:dyDescent="0.25">
      <c r="S21">
        <f t="shared" si="3"/>
        <v>223</v>
      </c>
      <c r="T21">
        <f t="shared" si="1"/>
        <v>-50.149999999999977</v>
      </c>
      <c r="U21" s="20">
        <f t="shared" si="0"/>
        <v>0.42139419512081777</v>
      </c>
      <c r="V21" s="18">
        <f t="shared" si="2"/>
        <v>42139.419512081775</v>
      </c>
    </row>
    <row r="22" spans="16:22" x14ac:dyDescent="0.25">
      <c r="S22">
        <f t="shared" si="3"/>
        <v>222</v>
      </c>
      <c r="T22">
        <f t="shared" si="1"/>
        <v>-51.149999999999977</v>
      </c>
      <c r="U22" s="20">
        <f t="shared" si="0"/>
        <v>0.39761178741960512</v>
      </c>
      <c r="V22" s="18">
        <f t="shared" si="2"/>
        <v>39761.17874196051</v>
      </c>
    </row>
    <row r="23" spans="16:22" x14ac:dyDescent="0.25">
      <c r="S23">
        <f t="shared" si="3"/>
        <v>221</v>
      </c>
      <c r="T23">
        <f t="shared" si="1"/>
        <v>-52.149999999999977</v>
      </c>
      <c r="U23" s="20">
        <f t="shared" si="0"/>
        <v>0.37486086228057391</v>
      </c>
      <c r="V23" s="18">
        <f t="shared" si="2"/>
        <v>37486.086228057393</v>
      </c>
    </row>
    <row r="24" spans="16:22" x14ac:dyDescent="0.25">
      <c r="S24">
        <f t="shared" si="3"/>
        <v>220</v>
      </c>
      <c r="T24">
        <f t="shared" si="1"/>
        <v>-53.149999999999977</v>
      </c>
      <c r="U24" s="20">
        <f t="shared" si="0"/>
        <v>0.35311270313664866</v>
      </c>
      <c r="V24" s="18">
        <f t="shared" si="2"/>
        <v>35311.270313664863</v>
      </c>
    </row>
    <row r="25" spans="16:22" x14ac:dyDescent="0.25">
      <c r="S25">
        <f t="shared" si="3"/>
        <v>219</v>
      </c>
      <c r="T25">
        <f t="shared" si="1"/>
        <v>-54.149999999999977</v>
      </c>
      <c r="U25" s="20">
        <f t="shared" si="0"/>
        <v>0.33233876140676716</v>
      </c>
      <c r="V25" s="18">
        <f t="shared" si="2"/>
        <v>33233.876140676715</v>
      </c>
    </row>
    <row r="26" spans="16:22" x14ac:dyDescent="0.25">
      <c r="S26">
        <f t="shared" si="3"/>
        <v>218</v>
      </c>
      <c r="T26">
        <f t="shared" si="1"/>
        <v>-55.149999999999977</v>
      </c>
      <c r="U26" s="20">
        <f t="shared" si="0"/>
        <v>0.31251067359767554</v>
      </c>
      <c r="V26" s="18">
        <f t="shared" si="2"/>
        <v>31251.067359767552</v>
      </c>
    </row>
    <row r="27" spans="16:22" x14ac:dyDescent="0.25">
      <c r="S27">
        <f t="shared" si="3"/>
        <v>217</v>
      </c>
      <c r="T27">
        <f t="shared" si="1"/>
        <v>-56.149999999999977</v>
      </c>
      <c r="U27" s="20">
        <f t="shared" si="0"/>
        <v>0.29360027841354058</v>
      </c>
      <c r="V27" s="18">
        <f t="shared" si="2"/>
        <v>29360.027841354058</v>
      </c>
    </row>
    <row r="28" spans="16:22" x14ac:dyDescent="0.25">
      <c r="P28" s="9" t="s">
        <v>29</v>
      </c>
      <c r="Q28" s="9" t="s">
        <v>30</v>
      </c>
      <c r="R28" s="9" t="s">
        <v>31</v>
      </c>
      <c r="S28">
        <f t="shared" si="3"/>
        <v>216</v>
      </c>
      <c r="T28">
        <f t="shared" si="1"/>
        <v>-57.149999999999977</v>
      </c>
      <c r="U28" s="20">
        <f t="shared" si="0"/>
        <v>0.27557963384656708</v>
      </c>
      <c r="V28" s="18">
        <f t="shared" si="2"/>
        <v>27557.963384656709</v>
      </c>
    </row>
    <row r="29" spans="16:22" x14ac:dyDescent="0.25">
      <c r="P29" s="6">
        <f>3.18757</f>
        <v>3.18757</v>
      </c>
      <c r="Q29" s="6">
        <v>506.71300000000002</v>
      </c>
      <c r="R29" s="6">
        <v>-80.78</v>
      </c>
      <c r="S29">
        <f t="shared" si="3"/>
        <v>215</v>
      </c>
      <c r="T29">
        <f t="shared" si="1"/>
        <v>-58.149999999999977</v>
      </c>
      <c r="U29" s="20">
        <f t="shared" si="0"/>
        <v>0.25842103422075524</v>
      </c>
      <c r="V29" s="18">
        <f t="shared" si="2"/>
        <v>25842.103422075525</v>
      </c>
    </row>
    <row r="30" spans="16:22" x14ac:dyDescent="0.25">
      <c r="S30">
        <f t="shared" si="3"/>
        <v>214</v>
      </c>
      <c r="T30">
        <f t="shared" si="1"/>
        <v>-59.149999999999977</v>
      </c>
      <c r="U30" s="20">
        <f t="shared" si="0"/>
        <v>0.24209702715989556</v>
      </c>
      <c r="V30" s="18">
        <f t="shared" si="2"/>
        <v>24209.702715989555</v>
      </c>
    </row>
    <row r="31" spans="16:22" x14ac:dyDescent="0.25">
      <c r="S31">
        <f t="shared" si="3"/>
        <v>213</v>
      </c>
      <c r="T31">
        <f t="shared" si="1"/>
        <v>-60.149999999999977</v>
      </c>
      <c r="U31" s="20">
        <f t="shared" si="0"/>
        <v>0.22658043044990156</v>
      </c>
      <c r="V31" s="18">
        <f t="shared" si="2"/>
        <v>22658.043044990158</v>
      </c>
    </row>
    <row r="32" spans="16:22" x14ac:dyDescent="0.25">
      <c r="S32">
        <f t="shared" si="3"/>
        <v>212</v>
      </c>
      <c r="T32">
        <f t="shared" si="1"/>
        <v>-61.149999999999977</v>
      </c>
      <c r="U32" s="20">
        <f t="shared" si="0"/>
        <v>0.21184434876462024</v>
      </c>
      <c r="V32" s="18">
        <f t="shared" si="2"/>
        <v>21184.434876462023</v>
      </c>
    </row>
    <row r="33" spans="19:22" x14ac:dyDescent="0.25">
      <c r="S33">
        <f t="shared" si="3"/>
        <v>211</v>
      </c>
      <c r="T33">
        <f t="shared" si="1"/>
        <v>-62.149999999999977</v>
      </c>
      <c r="U33" s="20">
        <f t="shared" si="0"/>
        <v>0.1978621902233339</v>
      </c>
      <c r="V33" s="18">
        <f t="shared" si="2"/>
        <v>19786.219022333389</v>
      </c>
    </row>
    <row r="34" spans="19:22" x14ac:dyDescent="0.25">
      <c r="S34">
        <f t="shared" si="3"/>
        <v>210</v>
      </c>
      <c r="T34">
        <f t="shared" si="1"/>
        <v>-63.149999999999977</v>
      </c>
      <c r="U34" s="20">
        <f t="shared" si="0"/>
        <v>0.18460768274730602</v>
      </c>
      <c r="V34" s="18">
        <f t="shared" si="2"/>
        <v>18460.768274730603</v>
      </c>
    </row>
    <row r="35" spans="19:22" x14ac:dyDescent="0.25">
      <c r="S35">
        <f t="shared" si="3"/>
        <v>209</v>
      </c>
      <c r="T35">
        <f t="shared" si="1"/>
        <v>-64.149999999999977</v>
      </c>
      <c r="U35" s="20">
        <f t="shared" si="0"/>
        <v>0.17205489018190731</v>
      </c>
      <c r="V35" s="18">
        <f t="shared" si="2"/>
        <v>17205.489018190732</v>
      </c>
    </row>
    <row r="36" spans="19:22" x14ac:dyDescent="0.25">
      <c r="S36">
        <f t="shared" si="3"/>
        <v>208</v>
      </c>
      <c r="T36">
        <f t="shared" si="1"/>
        <v>-65.149999999999977</v>
      </c>
      <c r="U36" s="20">
        <f t="shared" si="0"/>
        <v>0.16017822815011953</v>
      </c>
      <c r="V36" s="18">
        <f t="shared" si="2"/>
        <v>16017.822815011954</v>
      </c>
    </row>
    <row r="37" spans="19:22" x14ac:dyDescent="0.25">
      <c r="S37">
        <f t="shared" si="3"/>
        <v>207</v>
      </c>
      <c r="T37">
        <f t="shared" si="1"/>
        <v>-66.149999999999977</v>
      </c>
      <c r="U37" s="20">
        <f t="shared" si="0"/>
        <v>0.14895247960253991</v>
      </c>
      <c r="V37" s="18">
        <f t="shared" si="2"/>
        <v>14895.24796025399</v>
      </c>
    </row>
    <row r="38" spans="19:22" x14ac:dyDescent="0.25">
      <c r="S38">
        <f t="shared" si="3"/>
        <v>206</v>
      </c>
      <c r="T38">
        <f t="shared" si="1"/>
        <v>-67.149999999999977</v>
      </c>
      <c r="U38" s="20">
        <f t="shared" si="0"/>
        <v>0.13835281002842229</v>
      </c>
      <c r="V38" s="18">
        <f t="shared" si="2"/>
        <v>13835.281002842228</v>
      </c>
    </row>
    <row r="39" spans="19:22" x14ac:dyDescent="0.25">
      <c r="S39">
        <f t="shared" si="3"/>
        <v>205</v>
      </c>
      <c r="T39">
        <f t="shared" si="1"/>
        <v>-68.149999999999977</v>
      </c>
      <c r="U39" s="20">
        <f t="shared" si="0"/>
        <v>0.12835478229179376</v>
      </c>
      <c r="V39" s="18">
        <f t="shared" si="2"/>
        <v>12835.478229179376</v>
      </c>
    </row>
    <row r="40" spans="19:22" x14ac:dyDescent="0.25">
      <c r="S40">
        <f t="shared" si="3"/>
        <v>204</v>
      </c>
      <c r="T40">
        <f t="shared" si="1"/>
        <v>-69.149999999999977</v>
      </c>
      <c r="U40" s="20">
        <f t="shared" si="0"/>
        <v>0.11893437105628672</v>
      </c>
      <c r="V40" s="18">
        <f t="shared" si="2"/>
        <v>11893.437105628673</v>
      </c>
    </row>
    <row r="41" spans="19:22" x14ac:dyDescent="0.25">
      <c r="S41">
        <f t="shared" si="3"/>
        <v>203</v>
      </c>
      <c r="T41">
        <f t="shared" si="1"/>
        <v>-70.149999999999977</v>
      </c>
      <c r="U41" s="20">
        <f t="shared" si="0"/>
        <v>0.11006797676203289</v>
      </c>
      <c r="V41" s="18">
        <f t="shared" si="2"/>
        <v>11006.797676203289</v>
      </c>
    </row>
    <row r="42" spans="19:22" x14ac:dyDescent="0.25">
      <c r="S42">
        <f t="shared" si="3"/>
        <v>202</v>
      </c>
      <c r="T42">
        <f t="shared" si="1"/>
        <v>-71.149999999999977</v>
      </c>
      <c r="U42" s="20">
        <f t="shared" si="0"/>
        <v>0.10173243911780086</v>
      </c>
      <c r="V42" s="18">
        <f t="shared" si="2"/>
        <v>10173.243911780086</v>
      </c>
    </row>
    <row r="43" spans="19:22" x14ac:dyDescent="0.25">
      <c r="S43">
        <f t="shared" si="3"/>
        <v>201</v>
      </c>
      <c r="T43">
        <f t="shared" si="1"/>
        <v>-72.149999999999977</v>
      </c>
      <c r="U43" s="20">
        <f t="shared" si="0"/>
        <v>9.3905050071502391E-2</v>
      </c>
      <c r="V43" s="18">
        <f t="shared" si="2"/>
        <v>9390.5050071502392</v>
      </c>
    </row>
  </sheetData>
  <hyperlinks>
    <hyperlink ref="B1" r:id="rId1" location="Thermo-Phase" xr:uid="{BC4FD196-762E-4B90-A3B9-F7256AD75D7B}"/>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FCD2A-7DCD-4380-B16F-1686553E21CD}">
  <dimension ref="A1:O38"/>
  <sheetViews>
    <sheetView workbookViewId="0">
      <selection activeCell="N36" sqref="N36"/>
    </sheetView>
  </sheetViews>
  <sheetFormatPr defaultRowHeight="15" x14ac:dyDescent="0.25"/>
  <cols>
    <col min="12" max="12" width="13.7109375" customWidth="1"/>
    <col min="13" max="13" width="16" customWidth="1"/>
    <col min="14" max="14" width="9.5703125" bestFit="1" customWidth="1"/>
  </cols>
  <sheetData>
    <row r="1" spans="1:14" x14ac:dyDescent="0.25">
      <c r="A1" t="s">
        <v>63</v>
      </c>
    </row>
    <row r="2" spans="1:14" x14ac:dyDescent="0.25">
      <c r="L2" t="s">
        <v>68</v>
      </c>
    </row>
    <row r="5" spans="1:14" x14ac:dyDescent="0.25">
      <c r="L5" t="s">
        <v>32</v>
      </c>
      <c r="M5" t="s">
        <v>69</v>
      </c>
    </row>
    <row r="6" spans="1:14" x14ac:dyDescent="0.25">
      <c r="L6" s="6" t="s">
        <v>64</v>
      </c>
      <c r="M6" s="6" t="s">
        <v>66</v>
      </c>
      <c r="N6" s="6" t="s">
        <v>66</v>
      </c>
    </row>
    <row r="7" spans="1:14" x14ac:dyDescent="0.25">
      <c r="L7" s="6" t="s">
        <v>36</v>
      </c>
      <c r="M7" s="6" t="s">
        <v>65</v>
      </c>
      <c r="N7" s="6" t="s">
        <v>67</v>
      </c>
    </row>
    <row r="8" spans="1:14" x14ac:dyDescent="0.25">
      <c r="L8" s="6">
        <v>-45</v>
      </c>
      <c r="M8" s="34">
        <f>137.91*SQRT(133-L8)-2.466*(133-L8)</f>
        <v>1401.0008910836625</v>
      </c>
      <c r="N8" s="34">
        <f>32.968*SQRT(133-L8)-0.5895*(133-L8)</f>
        <v>334.91698086611706</v>
      </c>
    </row>
    <row r="9" spans="1:14" x14ac:dyDescent="0.25">
      <c r="L9" s="6">
        <f>L8+5</f>
        <v>-40</v>
      </c>
      <c r="M9" s="34">
        <f t="shared" ref="M9:M28" si="0">137.91*SQRT(133-L9)-2.466*(133-L9)</f>
        <v>1387.304843259878</v>
      </c>
      <c r="N9" s="34">
        <f t="shared" ref="N9:N28" si="1">32.968*SQRT(133-L9)-0.5895*(133-L9)</f>
        <v>331.64283816686003</v>
      </c>
    </row>
    <row r="10" spans="1:14" x14ac:dyDescent="0.25">
      <c r="L10" s="6">
        <f t="shared" ref="L10:L28" si="2">L9+5</f>
        <v>-35</v>
      </c>
      <c r="M10" s="34">
        <f t="shared" si="0"/>
        <v>1373.229899434856</v>
      </c>
      <c r="N10" s="34">
        <f t="shared" si="1"/>
        <v>328.27811869022071</v>
      </c>
    </row>
    <row r="11" spans="1:14" x14ac:dyDescent="0.25">
      <c r="L11" s="6">
        <f t="shared" si="2"/>
        <v>-30</v>
      </c>
      <c r="M11" s="34">
        <f t="shared" si="0"/>
        <v>1358.7590131227787</v>
      </c>
      <c r="N11" s="34">
        <f t="shared" si="1"/>
        <v>324.81874739780852</v>
      </c>
    </row>
    <row r="12" spans="1:14" x14ac:dyDescent="0.25">
      <c r="L12" s="6">
        <f t="shared" si="2"/>
        <v>-25</v>
      </c>
      <c r="M12" s="34">
        <f t="shared" si="0"/>
        <v>1343.8738199586637</v>
      </c>
      <c r="N12" s="34">
        <f t="shared" si="1"/>
        <v>321.26033420634644</v>
      </c>
    </row>
    <row r="13" spans="1:14" x14ac:dyDescent="0.25">
      <c r="L13" s="6">
        <f t="shared" si="2"/>
        <v>-20</v>
      </c>
      <c r="M13" s="34">
        <f t="shared" si="0"/>
        <v>1328.5544904867945</v>
      </c>
      <c r="N13" s="34">
        <f t="shared" si="1"/>
        <v>317.59813879608907</v>
      </c>
    </row>
    <row r="14" spans="1:14" x14ac:dyDescent="0.25">
      <c r="L14" s="6">
        <f t="shared" si="2"/>
        <v>-15</v>
      </c>
      <c r="M14" s="34">
        <f t="shared" si="0"/>
        <v>1312.7795611068548</v>
      </c>
      <c r="N14" s="34">
        <f t="shared" si="1"/>
        <v>313.8270301977434</v>
      </c>
    </row>
    <row r="15" spans="1:14" x14ac:dyDescent="0.25">
      <c r="L15" s="6">
        <f t="shared" si="2"/>
        <v>-10</v>
      </c>
      <c r="M15" s="34">
        <f t="shared" si="0"/>
        <v>1296.5257390811139</v>
      </c>
      <c r="N15" s="34">
        <f t="shared" si="1"/>
        <v>309.94144017856695</v>
      </c>
    </row>
    <row r="16" spans="1:14" x14ac:dyDescent="0.25">
      <c r="L16" s="6">
        <f t="shared" si="2"/>
        <v>-5</v>
      </c>
      <c r="M16" s="34">
        <f t="shared" si="0"/>
        <v>1279.7676765657584</v>
      </c>
      <c r="N16" s="34">
        <f t="shared" si="1"/>
        <v>305.93530922355109</v>
      </c>
    </row>
    <row r="17" spans="12:15" x14ac:dyDescent="0.25">
      <c r="L17" s="6">
        <f t="shared" si="2"/>
        <v>0</v>
      </c>
      <c r="M17" s="34">
        <f t="shared" si="0"/>
        <v>1262.4777074310493</v>
      </c>
      <c r="N17" s="34">
        <f t="shared" si="1"/>
        <v>301.80202362110685</v>
      </c>
    </row>
    <row r="18" spans="12:15" x14ac:dyDescent="0.25">
      <c r="L18" s="6">
        <f t="shared" si="2"/>
        <v>5</v>
      </c>
      <c r="M18" s="34">
        <f t="shared" si="0"/>
        <v>1244.6255390949882</v>
      </c>
      <c r="N18" s="34">
        <f t="shared" si="1"/>
        <v>297.53434179452961</v>
      </c>
    </row>
    <row r="19" spans="12:15" x14ac:dyDescent="0.25">
      <c r="L19" s="6">
        <f t="shared" si="2"/>
        <v>10</v>
      </c>
      <c r="M19" s="34">
        <f t="shared" si="0"/>
        <v>1226.1778895989228</v>
      </c>
      <c r="N19" s="34">
        <f t="shared" si="1"/>
        <v>293.12430754330569</v>
      </c>
    </row>
    <row r="20" spans="12:15" x14ac:dyDescent="0.25">
      <c r="L20" s="6">
        <f t="shared" si="2"/>
        <v>15</v>
      </c>
      <c r="M20" s="34">
        <f t="shared" si="0"/>
        <v>1207.0980575414217</v>
      </c>
      <c r="N20" s="34">
        <f t="shared" si="1"/>
        <v>288.56314723388869</v>
      </c>
    </row>
    <row r="21" spans="12:15" x14ac:dyDescent="0.25">
      <c r="L21" s="6">
        <f t="shared" si="2"/>
        <v>20</v>
      </c>
      <c r="M21" s="34">
        <f t="shared" si="0"/>
        <v>1187.3454090342357</v>
      </c>
      <c r="N21" s="34">
        <f t="shared" si="1"/>
        <v>283.84114715423601</v>
      </c>
    </row>
    <row r="22" spans="12:15" x14ac:dyDescent="0.25">
      <c r="L22" s="6">
        <f t="shared" si="2"/>
        <v>25</v>
      </c>
      <c r="M22" s="34">
        <f t="shared" si="0"/>
        <v>1166.8747612309432</v>
      </c>
      <c r="N22" s="34">
        <f t="shared" si="1"/>
        <v>278.94750614358452</v>
      </c>
    </row>
    <row r="23" spans="12:15" x14ac:dyDescent="0.25">
      <c r="L23" s="6">
        <f t="shared" si="2"/>
        <v>30</v>
      </c>
      <c r="M23" s="34">
        <f t="shared" si="0"/>
        <v>1145.6356357418679</v>
      </c>
      <c r="N23" s="34">
        <f t="shared" si="1"/>
        <v>273.87015711796033</v>
      </c>
    </row>
    <row r="24" spans="12:15" x14ac:dyDescent="0.25">
      <c r="L24" s="6">
        <f t="shared" si="2"/>
        <v>35</v>
      </c>
      <c r="M24" s="34">
        <f t="shared" si="0"/>
        <v>1123.5713467081146</v>
      </c>
      <c r="N24" s="34">
        <f t="shared" si="1"/>
        <v>268.59554907021339</v>
      </c>
    </row>
    <row r="25" spans="12:15" x14ac:dyDescent="0.25">
      <c r="L25" s="6">
        <f t="shared" si="2"/>
        <v>40</v>
      </c>
      <c r="M25" s="34">
        <f t="shared" si="0"/>
        <v>1100.6178764485385</v>
      </c>
      <c r="N25" s="34">
        <f t="shared" si="1"/>
        <v>263.10837828841574</v>
      </c>
    </row>
    <row r="26" spans="12:15" x14ac:dyDescent="0.25">
      <c r="L26" s="6">
        <f t="shared" si="2"/>
        <v>45</v>
      </c>
      <c r="M26" s="34">
        <f t="shared" si="0"/>
        <v>1076.7024748744984</v>
      </c>
      <c r="N26" s="34">
        <f t="shared" si="1"/>
        <v>257.3912535397177</v>
      </c>
    </row>
    <row r="27" spans="12:15" x14ac:dyDescent="0.25">
      <c r="L27" s="6">
        <f t="shared" si="2"/>
        <v>50</v>
      </c>
      <c r="M27" s="34">
        <f t="shared" si="0"/>
        <v>1051.7418948997902</v>
      </c>
      <c r="N27" s="34">
        <f t="shared" si="1"/>
        <v>251.42427423722933</v>
      </c>
    </row>
    <row r="28" spans="12:15" x14ac:dyDescent="0.25">
      <c r="L28" s="6">
        <f t="shared" si="2"/>
        <v>55</v>
      </c>
      <c r="M28" s="34">
        <f t="shared" si="0"/>
        <v>1025.6401410752735</v>
      </c>
      <c r="N28" s="34">
        <f t="shared" si="1"/>
        <v>245.18449224109651</v>
      </c>
    </row>
    <row r="30" spans="12:15" x14ac:dyDescent="0.25">
      <c r="L30" s="5" t="s">
        <v>77</v>
      </c>
      <c r="M30" t="s">
        <v>76</v>
      </c>
      <c r="N30">
        <v>237.57</v>
      </c>
      <c r="O30" t="s">
        <v>24</v>
      </c>
    </row>
    <row r="32" spans="12:15" x14ac:dyDescent="0.25">
      <c r="L32" s="5" t="s">
        <v>70</v>
      </c>
      <c r="M32" t="s">
        <v>72</v>
      </c>
      <c r="N32" s="21">
        <v>1560600</v>
      </c>
      <c r="O32" t="s">
        <v>56</v>
      </c>
    </row>
    <row r="33" spans="12:15" x14ac:dyDescent="0.25">
      <c r="L33" s="5" t="s">
        <v>71</v>
      </c>
      <c r="M33" t="s">
        <v>73</v>
      </c>
      <c r="N33" s="21">
        <v>184300</v>
      </c>
      <c r="O33" t="s">
        <v>56</v>
      </c>
    </row>
    <row r="34" spans="12:15" x14ac:dyDescent="0.25">
      <c r="L34" s="5" t="s">
        <v>78</v>
      </c>
      <c r="M34" t="s">
        <v>74</v>
      </c>
      <c r="N34" s="32">
        <f>N32-N33</f>
        <v>1376300</v>
      </c>
      <c r="O34" t="s">
        <v>56</v>
      </c>
    </row>
    <row r="36" spans="12:15" x14ac:dyDescent="0.25">
      <c r="L36" s="5" t="s">
        <v>75</v>
      </c>
      <c r="M36" t="s">
        <v>53</v>
      </c>
      <c r="N36" s="32">
        <f>(137.91*SQRT(133-N30+273.15)-2.466*(133-N30+273.15))*1000</f>
        <v>1374882.5572325753</v>
      </c>
      <c r="O36" t="s">
        <v>56</v>
      </c>
    </row>
    <row r="38" spans="12:15" x14ac:dyDescent="0.25">
      <c r="M38" t="s">
        <v>79</v>
      </c>
      <c r="N38" s="35">
        <f>(N36-N34)/(0.5*(N36+N34))</f>
        <v>-1.0304243632967437E-3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0914-A9EC-4A58-9052-DD140B78A93A}">
  <dimension ref="A1:Z41"/>
  <sheetViews>
    <sheetView workbookViewId="0">
      <selection activeCell="U32" sqref="U32"/>
    </sheetView>
  </sheetViews>
  <sheetFormatPr defaultRowHeight="15" x14ac:dyDescent="0.25"/>
  <cols>
    <col min="20" max="20" width="9.140625" style="6"/>
    <col min="21" max="21" width="9.5703125" bestFit="1" customWidth="1"/>
  </cols>
  <sheetData>
    <row r="1" spans="1:1" x14ac:dyDescent="0.25">
      <c r="A1" s="15" t="s">
        <v>54</v>
      </c>
    </row>
    <row r="20" spans="19:26" x14ac:dyDescent="0.25">
      <c r="U20" s="30" t="s">
        <v>6</v>
      </c>
      <c r="V20" s="29" t="s">
        <v>7</v>
      </c>
      <c r="W20" s="26" t="s">
        <v>8</v>
      </c>
    </row>
    <row r="21" spans="19:26" x14ac:dyDescent="0.25">
      <c r="S21" s="5" t="s">
        <v>40</v>
      </c>
      <c r="T21" s="6" t="s">
        <v>39</v>
      </c>
      <c r="U21" s="25">
        <f>'HSE-Tickle Calc'!I35</f>
        <v>237.70537631536246</v>
      </c>
      <c r="V21" s="25">
        <f>'HSE-Tickle Calc'!J35</f>
        <v>237.72858605087362</v>
      </c>
      <c r="W21" s="27">
        <f>'HSE-Tickle Calc'!K35</f>
        <v>237.56572449511526</v>
      </c>
      <c r="X21" t="s">
        <v>24</v>
      </c>
      <c r="Y21" t="s">
        <v>193</v>
      </c>
    </row>
    <row r="22" spans="19:26" x14ac:dyDescent="0.25">
      <c r="S22" s="24" t="s">
        <v>43</v>
      </c>
      <c r="T22" s="6" t="s">
        <v>49</v>
      </c>
      <c r="U22" s="6">
        <v>684.24</v>
      </c>
      <c r="V22" s="6">
        <v>684.21</v>
      </c>
      <c r="W22" s="6">
        <v>684.41</v>
      </c>
      <c r="X22" t="s">
        <v>55</v>
      </c>
    </row>
    <row r="23" spans="19:26" x14ac:dyDescent="0.25">
      <c r="S23" s="24" t="s">
        <v>46</v>
      </c>
      <c r="T23" s="6" t="s">
        <v>52</v>
      </c>
      <c r="U23" s="31">
        <v>184920</v>
      </c>
      <c r="V23" s="31">
        <v>185010</v>
      </c>
      <c r="W23" s="31">
        <v>184300</v>
      </c>
      <c r="X23" t="s">
        <v>56</v>
      </c>
      <c r="Z23" s="16" t="s">
        <v>59</v>
      </c>
    </row>
    <row r="24" spans="19:26" x14ac:dyDescent="0.25">
      <c r="S24" s="24" t="s">
        <v>44</v>
      </c>
      <c r="T24" s="6" t="s">
        <v>50</v>
      </c>
      <c r="U24" s="6">
        <v>0.80466000000000004</v>
      </c>
      <c r="V24" s="6">
        <v>0.80542999999999998</v>
      </c>
      <c r="W24" s="6">
        <v>0.79927999999999999</v>
      </c>
      <c r="X24" t="s">
        <v>55</v>
      </c>
    </row>
    <row r="25" spans="19:26" x14ac:dyDescent="0.25">
      <c r="S25" s="28" t="s">
        <v>58</v>
      </c>
      <c r="T25" s="6" t="s">
        <v>129</v>
      </c>
      <c r="U25" s="31">
        <v>2272.1999999999998</v>
      </c>
      <c r="V25" s="31">
        <v>2272.4</v>
      </c>
      <c r="W25" s="31">
        <v>2270.9</v>
      </c>
      <c r="X25" t="s">
        <v>57</v>
      </c>
    </row>
    <row r="27" spans="19:26" x14ac:dyDescent="0.25">
      <c r="S27" s="24"/>
    </row>
    <row r="28" spans="19:26" x14ac:dyDescent="0.25">
      <c r="S28" s="5" t="s">
        <v>20</v>
      </c>
      <c r="T28" s="6" t="s">
        <v>21</v>
      </c>
      <c r="U28" s="32">
        <f>'HSE-Tickle Calc'!I30</f>
        <v>1010000</v>
      </c>
      <c r="V28" s="21">
        <f>'HSE-Tickle Calc'!J30</f>
        <v>1120000</v>
      </c>
      <c r="W28" s="21">
        <f>'HSE-Tickle Calc'!K30</f>
        <v>1180000</v>
      </c>
      <c r="X28" s="21" t="str">
        <f>'HSE-Tickle Calc'!L30</f>
        <v>Pa (abs)</v>
      </c>
    </row>
    <row r="29" spans="19:26" x14ac:dyDescent="0.25">
      <c r="S29" s="5" t="s">
        <v>22</v>
      </c>
      <c r="T29" s="6" t="s">
        <v>23</v>
      </c>
      <c r="U29" s="23">
        <f>'HSE-Tickle Calc'!I31</f>
        <v>294.64999999999998</v>
      </c>
      <c r="V29" s="23">
        <f>'HSE-Tickle Calc'!J31</f>
        <v>293.25</v>
      </c>
      <c r="W29" s="23">
        <f>'HSE-Tickle Calc'!K31</f>
        <v>297.25</v>
      </c>
      <c r="X29" s="21" t="str">
        <f>'HSE-Tickle Calc'!L31</f>
        <v>K</v>
      </c>
    </row>
    <row r="30" spans="19:26" x14ac:dyDescent="0.25">
      <c r="S30" s="24" t="s">
        <v>42</v>
      </c>
      <c r="T30" s="6" t="s">
        <v>48</v>
      </c>
      <c r="U30">
        <v>608.28</v>
      </c>
      <c r="V30">
        <v>610.47</v>
      </c>
      <c r="W30">
        <v>604.5</v>
      </c>
      <c r="X30" t="s">
        <v>55</v>
      </c>
    </row>
    <row r="31" spans="19:26" x14ac:dyDescent="0.25">
      <c r="S31" s="24" t="s">
        <v>45</v>
      </c>
      <c r="T31" s="6" t="s">
        <v>51</v>
      </c>
      <c r="U31" s="21">
        <v>446500</v>
      </c>
      <c r="V31" s="21">
        <v>439910</v>
      </c>
      <c r="W31" s="21">
        <v>458950</v>
      </c>
      <c r="X31" t="s">
        <v>56</v>
      </c>
    </row>
    <row r="40" spans="14:26" x14ac:dyDescent="0.25">
      <c r="Z40" s="16" t="s">
        <v>60</v>
      </c>
    </row>
    <row r="41" spans="14:26" x14ac:dyDescent="0.25">
      <c r="N41" s="16" t="s">
        <v>61</v>
      </c>
    </row>
  </sheetData>
  <hyperlinks>
    <hyperlink ref="A1" r:id="rId1" xr:uid="{D3AE622E-C1B7-4C77-AB34-71F1DB5FC3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E990-839A-4938-88A7-ED7140A1CFA9}">
  <dimension ref="B2"/>
  <sheetViews>
    <sheetView topLeftCell="A7" workbookViewId="0">
      <selection activeCell="B3" sqref="B3"/>
    </sheetView>
  </sheetViews>
  <sheetFormatPr defaultRowHeight="15" x14ac:dyDescent="0.25"/>
  <sheetData>
    <row r="2" spans="2:2" x14ac:dyDescent="0.25">
      <c r="B2" t="s">
        <v>192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Results Summary</vt:lpstr>
      <vt:lpstr>HSE-Tickle Calc</vt:lpstr>
      <vt:lpstr>Antoine</vt:lpstr>
      <vt:lpstr>Osborne - Van Dusen</vt:lpstr>
      <vt:lpstr>NIST Webbook</vt:lpstr>
      <vt:lpstr>CERC (2000)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Gant</dc:creator>
  <cp:lastModifiedBy>Simon Gant</cp:lastModifiedBy>
  <dcterms:created xsi:type="dcterms:W3CDTF">2022-01-09T13:47:53Z</dcterms:created>
  <dcterms:modified xsi:type="dcterms:W3CDTF">2025-01-01T15:09:34Z</dcterms:modified>
</cp:coreProperties>
</file>